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0" tabRatio="693"/>
  </bookViews>
  <sheets>
    <sheet name="主页" sheetId="8" r:id="rId1"/>
    <sheet name="员工花名册" sheetId="1" r:id="rId2"/>
    <sheet name="教育经历" sheetId="4" r:id="rId3"/>
    <sheet name="工作经历" sheetId="5" r:id="rId4"/>
    <sheet name="员工履历表" sheetId="6" r:id="rId5"/>
    <sheet name="使用说明" sheetId="7" r:id="rId6"/>
  </sheets>
  <calcPr calcId="144525"/>
</workbook>
</file>

<file path=xl/sharedStrings.xml><?xml version="1.0" encoding="utf-8"?>
<sst xmlns="http://schemas.openxmlformats.org/spreadsheetml/2006/main" count="460">
  <si>
    <t>当前日期</t>
  </si>
  <si>
    <t>性别结构</t>
  </si>
  <si>
    <t>性别</t>
  </si>
  <si>
    <t>人数</t>
  </si>
  <si>
    <t>占比</t>
  </si>
  <si>
    <t>本月在册总人数</t>
  </si>
  <si>
    <t>男</t>
  </si>
  <si>
    <t>当前在职总人数</t>
  </si>
  <si>
    <t>女</t>
  </si>
  <si>
    <t>本月已离职人数</t>
  </si>
  <si>
    <t>合计</t>
  </si>
  <si>
    <t>本月离职总人数</t>
  </si>
  <si>
    <t>月末在职总人数</t>
  </si>
  <si>
    <t>政治面貌结构</t>
  </si>
  <si>
    <t>婚姻状况结构</t>
  </si>
  <si>
    <t>政治面貌</t>
  </si>
  <si>
    <t>婚姻状况</t>
  </si>
  <si>
    <t>党员</t>
  </si>
  <si>
    <t>已婚</t>
  </si>
  <si>
    <t>预备党员</t>
  </si>
  <si>
    <t>未婚</t>
  </si>
  <si>
    <t>群众</t>
  </si>
  <si>
    <t>工龄结构</t>
  </si>
  <si>
    <t>学历结构</t>
  </si>
  <si>
    <t>工龄区间</t>
  </si>
  <si>
    <t>学历</t>
  </si>
  <si>
    <t>1年以内</t>
  </si>
  <si>
    <t>博士后</t>
  </si>
  <si>
    <t>1-3年</t>
  </si>
  <si>
    <t>博士</t>
  </si>
  <si>
    <t>3-5年</t>
  </si>
  <si>
    <t>硕士</t>
  </si>
  <si>
    <t>5-10年</t>
  </si>
  <si>
    <t>本科</t>
  </si>
  <si>
    <t>10年以上</t>
  </si>
  <si>
    <t>大专</t>
  </si>
  <si>
    <t>中专</t>
  </si>
  <si>
    <t>高中</t>
  </si>
  <si>
    <t>初中</t>
  </si>
  <si>
    <t>年龄结构</t>
  </si>
  <si>
    <t>部门结构</t>
  </si>
  <si>
    <t>年龄区间</t>
  </si>
  <si>
    <t>部门名称</t>
  </si>
  <si>
    <t>25岁以下</t>
  </si>
  <si>
    <t>总经办</t>
  </si>
  <si>
    <t>15-30</t>
  </si>
  <si>
    <t>综管部</t>
  </si>
  <si>
    <t>30-35</t>
  </si>
  <si>
    <t>财务部</t>
  </si>
  <si>
    <t>35-40</t>
  </si>
  <si>
    <t>研发部</t>
  </si>
  <si>
    <t>40岁以上</t>
  </si>
  <si>
    <t>营销部</t>
  </si>
  <si>
    <t>序号</t>
  </si>
  <si>
    <t>工号</t>
  </si>
  <si>
    <t>姓名</t>
  </si>
  <si>
    <t>部门</t>
  </si>
  <si>
    <t>现职务</t>
  </si>
  <si>
    <t>入职日期</t>
  </si>
  <si>
    <t>转正日期</t>
  </si>
  <si>
    <t>合同年限</t>
  </si>
  <si>
    <t>合同到期日</t>
  </si>
  <si>
    <t>合同到期天数提醒</t>
  </si>
  <si>
    <t>工龄（年）</t>
  </si>
  <si>
    <t>身份证号</t>
  </si>
  <si>
    <t>生日</t>
  </si>
  <si>
    <t>年龄</t>
  </si>
  <si>
    <t>籍贯</t>
  </si>
  <si>
    <t>户籍详细地址</t>
  </si>
  <si>
    <t>现住址</t>
  </si>
  <si>
    <t>民族</t>
  </si>
  <si>
    <t>职称</t>
  </si>
  <si>
    <t>职称/资格证书</t>
  </si>
  <si>
    <t>毕业院校</t>
  </si>
  <si>
    <t>专业</t>
  </si>
  <si>
    <t>外语</t>
  </si>
  <si>
    <t>外语水平</t>
  </si>
  <si>
    <t>联系电话</t>
  </si>
  <si>
    <t>紧急联系人</t>
  </si>
  <si>
    <t>紧急联系电话</t>
  </si>
  <si>
    <t>在职状态</t>
  </si>
  <si>
    <t>离职日期</t>
  </si>
  <si>
    <t>离职原因</t>
  </si>
  <si>
    <t>社保账号</t>
  </si>
  <si>
    <t>申购日期</t>
  </si>
  <si>
    <t>停保日期</t>
  </si>
  <si>
    <t>公积金账号</t>
  </si>
  <si>
    <t>封存日期</t>
  </si>
  <si>
    <t>开户行</t>
  </si>
  <si>
    <t>银行卡号</t>
  </si>
  <si>
    <t>异动记录</t>
  </si>
  <si>
    <t>奖惩记录</t>
  </si>
  <si>
    <t>调薪记录</t>
  </si>
  <si>
    <t>手动输入</t>
  </si>
  <si>
    <t>公式自动录入</t>
  </si>
  <si>
    <t>W0001</t>
  </si>
  <si>
    <t>张一一</t>
  </si>
  <si>
    <t>董事长</t>
  </si>
  <si>
    <t>0004270</t>
  </si>
  <si>
    <t>广东省</t>
  </si>
  <si>
    <t>广东省深圳市南山区</t>
  </si>
  <si>
    <t>汉</t>
  </si>
  <si>
    <t>高级</t>
  </si>
  <si>
    <t>高级工程师</t>
  </si>
  <si>
    <t>深圳大学</t>
  </si>
  <si>
    <t>工商管理</t>
  </si>
  <si>
    <t>英语</t>
  </si>
  <si>
    <t>CET-4</t>
  </si>
  <si>
    <t>名字1</t>
  </si>
  <si>
    <t>工商银行</t>
  </si>
  <si>
    <t>W0002</t>
  </si>
  <si>
    <t>刘二二</t>
  </si>
  <si>
    <t>董秘</t>
  </si>
  <si>
    <t>0002810</t>
  </si>
  <si>
    <t>湖南省</t>
  </si>
  <si>
    <t>湖南省长沙市岳麓区</t>
  </si>
  <si>
    <t>中级</t>
  </si>
  <si>
    <t>中级工程师</t>
  </si>
  <si>
    <t>广州大学</t>
  </si>
  <si>
    <t>工商企业管理</t>
  </si>
  <si>
    <t>TEM-8</t>
  </si>
  <si>
    <t>名字2</t>
  </si>
  <si>
    <t>W0003</t>
  </si>
  <si>
    <t>王三三</t>
  </si>
  <si>
    <t>总经理</t>
  </si>
  <si>
    <t>0001020</t>
  </si>
  <si>
    <t>湖北省</t>
  </si>
  <si>
    <t>湖北省武汉市汉口区</t>
  </si>
  <si>
    <t>湖南理工大学</t>
  </si>
  <si>
    <t>微电子学与固体电子学</t>
  </si>
  <si>
    <t>CET-6</t>
  </si>
  <si>
    <t>名字3</t>
  </si>
  <si>
    <t>1、2018/8/1，岗位晋升，薪资上调1000元；
2、2019/5/1，岗位异动，薪资上调2000元；</t>
  </si>
  <si>
    <t>W0004</t>
  </si>
  <si>
    <t>周四四</t>
  </si>
  <si>
    <t>财务总监</t>
  </si>
  <si>
    <t>0004270</t>
  </si>
  <si>
    <t>江西省</t>
  </si>
  <si>
    <t>江西省南昌市高新区</t>
  </si>
  <si>
    <t>经济师财务管理</t>
  </si>
  <si>
    <t>北京大学</t>
  </si>
  <si>
    <t>农业经济管理</t>
  </si>
  <si>
    <t>名字4</t>
  </si>
  <si>
    <t>W0005</t>
  </si>
  <si>
    <t>赵五五</t>
  </si>
  <si>
    <t>行政总监</t>
  </si>
  <si>
    <t>0001060</t>
  </si>
  <si>
    <t>江西省上饶市余干县</t>
  </si>
  <si>
    <t>经济师行政管理</t>
  </si>
  <si>
    <t>清华大学</t>
  </si>
  <si>
    <t>法律</t>
  </si>
  <si>
    <t>名字5</t>
  </si>
  <si>
    <t>1、2020/3/1岗位由行政经理晋升为行政总监；
2、2018/7/1岗位由行政专员晋升为行政经理；</t>
  </si>
  <si>
    <t>W0006</t>
  </si>
  <si>
    <t>陈六六</t>
  </si>
  <si>
    <t>营销总监</t>
  </si>
  <si>
    <t>0004270</t>
  </si>
  <si>
    <t>湖南省常德市安乡县</t>
  </si>
  <si>
    <t>广东省深圳市宝安区</t>
  </si>
  <si>
    <t>无</t>
  </si>
  <si>
    <t>广西大学</t>
  </si>
  <si>
    <t>法学</t>
  </si>
  <si>
    <t>名字6</t>
  </si>
  <si>
    <t>W0007</t>
  </si>
  <si>
    <t>方七七</t>
  </si>
  <si>
    <t>行政经理</t>
  </si>
  <si>
    <t>0008810</t>
  </si>
  <si>
    <t>广东省惠州市惠东县</t>
  </si>
  <si>
    <t>广西民族大学</t>
  </si>
  <si>
    <t>名字7</t>
  </si>
  <si>
    <t>W0008</t>
  </si>
  <si>
    <t>秦八八</t>
  </si>
  <si>
    <t>人事专员</t>
  </si>
  <si>
    <t>0000640</t>
  </si>
  <si>
    <t>广东省中山市顺德市</t>
  </si>
  <si>
    <t>人力资源管理师</t>
  </si>
  <si>
    <t>山东理工大学</t>
  </si>
  <si>
    <t>国际贸易</t>
  </si>
  <si>
    <t>名字8</t>
  </si>
  <si>
    <t>W0009</t>
  </si>
  <si>
    <t>唐九九</t>
  </si>
  <si>
    <t>行政专员</t>
  </si>
  <si>
    <t>0024720</t>
  </si>
  <si>
    <t>广西省</t>
  </si>
  <si>
    <t>广西南宁市西乡塘区</t>
  </si>
  <si>
    <t>厦门大学</t>
  </si>
  <si>
    <t>物流管理</t>
  </si>
  <si>
    <t>名字9</t>
  </si>
  <si>
    <t>1、2021/3/1由营销部销售经理岗位异动为综管部行政专员</t>
  </si>
  <si>
    <t>W0010</t>
  </si>
  <si>
    <t>萧一十</t>
  </si>
  <si>
    <t>财务经理</t>
  </si>
  <si>
    <t>0005130</t>
  </si>
  <si>
    <t>四川省</t>
  </si>
  <si>
    <t>四川省成都市锦江区</t>
  </si>
  <si>
    <t>注册会计师</t>
  </si>
  <si>
    <t>四川大学</t>
  </si>
  <si>
    <t>软件技术</t>
  </si>
  <si>
    <t>名字10</t>
  </si>
  <si>
    <t>W0011</t>
  </si>
  <si>
    <t>朱十一</t>
  </si>
  <si>
    <t>会计</t>
  </si>
  <si>
    <t>0024240</t>
  </si>
  <si>
    <t>四川省成都市武侯区</t>
  </si>
  <si>
    <t>初级</t>
  </si>
  <si>
    <t>武汉大学</t>
  </si>
  <si>
    <t>计算机信息管理</t>
  </si>
  <si>
    <t>名字11</t>
  </si>
  <si>
    <t>个人原因</t>
  </si>
  <si>
    <t>W0012</t>
  </si>
  <si>
    <t>周十二</t>
  </si>
  <si>
    <t>项目经理</t>
  </si>
  <si>
    <t>0007310</t>
  </si>
  <si>
    <t>湖南省长沙市天心区</t>
  </si>
  <si>
    <t>广东省深圳市福田区</t>
  </si>
  <si>
    <t>高级项目经理</t>
  </si>
  <si>
    <t>中山大学</t>
  </si>
  <si>
    <t>软件工程</t>
  </si>
  <si>
    <t>名字12</t>
  </si>
  <si>
    <t>W0013</t>
  </si>
  <si>
    <t>庞十三</t>
  </si>
  <si>
    <t>0007210</t>
  </si>
  <si>
    <t>湖南省邵阳市邵东县</t>
  </si>
  <si>
    <t>中南大学</t>
  </si>
  <si>
    <t>软件开发</t>
  </si>
  <si>
    <t>名字13</t>
  </si>
  <si>
    <t>W0014</t>
  </si>
  <si>
    <t>方十四</t>
  </si>
  <si>
    <t>0023300</t>
  </si>
  <si>
    <t>广西贵港市玉林市</t>
  </si>
  <si>
    <t>南京大学</t>
  </si>
  <si>
    <t>电子信息工程</t>
  </si>
  <si>
    <t>名字14</t>
  </si>
  <si>
    <t>W0015</t>
  </si>
  <si>
    <t>刘十五</t>
  </si>
  <si>
    <t>Java工程师</t>
  </si>
  <si>
    <t>0001030</t>
  </si>
  <si>
    <t>山东省</t>
  </si>
  <si>
    <t>山东省济南市济宁县</t>
  </si>
  <si>
    <t>西南大学</t>
  </si>
  <si>
    <t>艺术设计</t>
  </si>
  <si>
    <t>名字15</t>
  </si>
  <si>
    <t>1、嘉奖一次：2021/3/15对部门业务运作提出合理化建议，经采纳实施，给公司带来显著经济效益</t>
  </si>
  <si>
    <t>W0016</t>
  </si>
  <si>
    <t>任十六</t>
  </si>
  <si>
    <t>0024250</t>
  </si>
  <si>
    <t>福建省</t>
  </si>
  <si>
    <t>福建省三明市泰宁县</t>
  </si>
  <si>
    <t>电子科技大学</t>
  </si>
  <si>
    <t>名字16</t>
  </si>
  <si>
    <t>W0017</t>
  </si>
  <si>
    <t>张十七</t>
  </si>
  <si>
    <t>0023310</t>
  </si>
  <si>
    <t>浙江大学</t>
  </si>
  <si>
    <t>名字17</t>
  </si>
  <si>
    <t>1、2020/7/1，职业资格认证提升，薪资上调1000元</t>
  </si>
  <si>
    <t>W0018</t>
  </si>
  <si>
    <t>刘十八</t>
  </si>
  <si>
    <t>测试工程师</t>
  </si>
  <si>
    <t>0004273</t>
  </si>
  <si>
    <t>广东省深圳市龙岗区</t>
  </si>
  <si>
    <t>湖南大学</t>
  </si>
  <si>
    <t>计算机应用</t>
  </si>
  <si>
    <t>名字18</t>
  </si>
  <si>
    <t>W0019</t>
  </si>
  <si>
    <t>周十九</t>
  </si>
  <si>
    <t>0005430</t>
  </si>
  <si>
    <t>天津大学</t>
  </si>
  <si>
    <t>名字19</t>
  </si>
  <si>
    <t>W0020</t>
  </si>
  <si>
    <t>路二十</t>
  </si>
  <si>
    <t>0023248</t>
  </si>
  <si>
    <t>壮</t>
  </si>
  <si>
    <t>南昌大学</t>
  </si>
  <si>
    <t>名字20</t>
  </si>
  <si>
    <t>W0021</t>
  </si>
  <si>
    <t>陈二一</t>
  </si>
  <si>
    <t>初级工程师</t>
  </si>
  <si>
    <t>0025310</t>
  </si>
  <si>
    <t>上海交通大学</t>
  </si>
  <si>
    <t>名字21</t>
  </si>
  <si>
    <t>W0022</t>
  </si>
  <si>
    <t>段二二</t>
  </si>
  <si>
    <t>0024300</t>
  </si>
  <si>
    <t>郑州大学</t>
  </si>
  <si>
    <t>名字22</t>
  </si>
  <si>
    <t>W0023</t>
  </si>
  <si>
    <t>李二三</t>
  </si>
  <si>
    <t>UI设计</t>
  </si>
  <si>
    <t>0022040</t>
  </si>
  <si>
    <t>华中科技大学</t>
  </si>
  <si>
    <t>设计管理</t>
  </si>
  <si>
    <t>名字23</t>
  </si>
  <si>
    <t>W0024</t>
  </si>
  <si>
    <t>蔡二四</t>
  </si>
  <si>
    <t>0024280</t>
  </si>
  <si>
    <t>广东省深圳市某企业区</t>
  </si>
  <si>
    <t>同济大学</t>
  </si>
  <si>
    <t>传播设计</t>
  </si>
  <si>
    <t>名字24</t>
  </si>
  <si>
    <t>W0025</t>
  </si>
  <si>
    <t>庞二五</t>
  </si>
  <si>
    <t>运维工程师</t>
  </si>
  <si>
    <t>0002810</t>
  </si>
  <si>
    <t>广东职业中学</t>
  </si>
  <si>
    <t>名字25</t>
  </si>
  <si>
    <t>W0026</t>
  </si>
  <si>
    <t>魏二六</t>
  </si>
  <si>
    <t>0008260</t>
  </si>
  <si>
    <t>南宁学院</t>
  </si>
  <si>
    <t>名字26</t>
  </si>
  <si>
    <t>W0027</t>
  </si>
  <si>
    <t>张二七</t>
  </si>
  <si>
    <t>区域经理</t>
  </si>
  <si>
    <t>0023310</t>
  </si>
  <si>
    <t>复旦大学</t>
  </si>
  <si>
    <t>名字27</t>
  </si>
  <si>
    <t>W0028</t>
  </si>
  <si>
    <t>王二八</t>
  </si>
  <si>
    <t>大客户经理</t>
  </si>
  <si>
    <t>0024270</t>
  </si>
  <si>
    <t>中国海洋大学</t>
  </si>
  <si>
    <t>名字28</t>
  </si>
  <si>
    <t>W0029</t>
  </si>
  <si>
    <t>刘二九</t>
  </si>
  <si>
    <t>销售经理</t>
  </si>
  <si>
    <t>0007340</t>
  </si>
  <si>
    <t>理科</t>
  </si>
  <si>
    <t>名字29</t>
  </si>
  <si>
    <t>W0030</t>
  </si>
  <si>
    <t>周三十</t>
  </si>
  <si>
    <t>0004270</t>
  </si>
  <si>
    <t>大连理工大学</t>
  </si>
  <si>
    <t>软件设计</t>
  </si>
  <si>
    <t>名字30</t>
  </si>
  <si>
    <t>最高学历</t>
  </si>
  <si>
    <t>第二学历</t>
  </si>
  <si>
    <t>备注</t>
  </si>
  <si>
    <t>学历类型</t>
  </si>
  <si>
    <t>入学时间</t>
  </si>
  <si>
    <t>毕业时间</t>
  </si>
  <si>
    <t>非全日制</t>
  </si>
  <si>
    <t>2017/09</t>
  </si>
  <si>
    <t>2020/06</t>
  </si>
  <si>
    <t>全日制</t>
  </si>
  <si>
    <t>2013/09</t>
  </si>
  <si>
    <t>2017/06</t>
  </si>
  <si>
    <t>2015/09</t>
  </si>
  <si>
    <t>2019/06</t>
  </si>
  <si>
    <t>2012/09</t>
  </si>
  <si>
    <t>2015/06</t>
  </si>
  <si>
    <t>2018/06</t>
  </si>
  <si>
    <t>2009/09</t>
  </si>
  <si>
    <t>2013/06</t>
  </si>
  <si>
    <t>2014/09</t>
  </si>
  <si>
    <t>2010/09</t>
  </si>
  <si>
    <t>2014/06</t>
  </si>
  <si>
    <t>2016/09</t>
  </si>
  <si>
    <t>2016/06</t>
  </si>
  <si>
    <t>广西大学附中</t>
  </si>
  <si>
    <t>广西民族大学附中</t>
  </si>
  <si>
    <t>2011/09</t>
  </si>
  <si>
    <t>山东理工大学附中</t>
  </si>
  <si>
    <t>厦门大学附中</t>
  </si>
  <si>
    <t>四川大学附中</t>
  </si>
  <si>
    <t>武汉大学附中</t>
  </si>
  <si>
    <t>中山大学附中</t>
  </si>
  <si>
    <t>中南大学附中</t>
  </si>
  <si>
    <t>南京大学附中</t>
  </si>
  <si>
    <t>西南大学附中</t>
  </si>
  <si>
    <t>最近一份工作经历</t>
  </si>
  <si>
    <t>第二份工作经历</t>
  </si>
  <si>
    <t>第三份工作经历</t>
  </si>
  <si>
    <t>公司名称</t>
  </si>
  <si>
    <t>职务</t>
  </si>
  <si>
    <t>广东XX公司</t>
  </si>
  <si>
    <t>2010/05</t>
  </si>
  <si>
    <t>2020/10</t>
  </si>
  <si>
    <t>广东省X公司</t>
  </si>
  <si>
    <t>经理</t>
  </si>
  <si>
    <t>2003/11</t>
  </si>
  <si>
    <t>广东X公司</t>
  </si>
  <si>
    <t>2001/10</t>
  </si>
  <si>
    <t>深圳XX公司</t>
  </si>
  <si>
    <t>总助</t>
  </si>
  <si>
    <t>2019/05</t>
  </si>
  <si>
    <t>深圳省X公司</t>
  </si>
  <si>
    <t>秘书</t>
  </si>
  <si>
    <t>2018/12</t>
  </si>
  <si>
    <t>深圳X公司</t>
  </si>
  <si>
    <t>湖南XX公司</t>
  </si>
  <si>
    <t>2015/01</t>
  </si>
  <si>
    <t>2020/11</t>
  </si>
  <si>
    <t>湖南省X公司</t>
  </si>
  <si>
    <t>2008/10</t>
  </si>
  <si>
    <t>湖南X公司</t>
  </si>
  <si>
    <t>2007/02</t>
  </si>
  <si>
    <t>北京XX公司</t>
  </si>
  <si>
    <t>2015/02</t>
  </si>
  <si>
    <t>2020/12</t>
  </si>
  <si>
    <t>北京省X公司</t>
  </si>
  <si>
    <t>2008/11</t>
  </si>
  <si>
    <t>北京X公司</t>
  </si>
  <si>
    <t>2007/03</t>
  </si>
  <si>
    <t>中山XX公司</t>
  </si>
  <si>
    <t>中山省X公司</t>
  </si>
  <si>
    <t>2018/01</t>
  </si>
  <si>
    <t>中山X公司</t>
  </si>
  <si>
    <t>2017/05</t>
  </si>
  <si>
    <t>长沙XX公司</t>
  </si>
  <si>
    <t>长沙省X公司</t>
  </si>
  <si>
    <t>2018/02</t>
  </si>
  <si>
    <t>长沙X公司</t>
  </si>
  <si>
    <t>广州XX公司</t>
  </si>
  <si>
    <t>2018/10</t>
  </si>
  <si>
    <t>2020/05</t>
  </si>
  <si>
    <t>广州省X公司</t>
  </si>
  <si>
    <t>2018/03</t>
  </si>
  <si>
    <t>广州X公司</t>
  </si>
  <si>
    <t>2017/07</t>
  </si>
  <si>
    <t>2018/11</t>
  </si>
  <si>
    <t>2017/02</t>
  </si>
  <si>
    <t>2016/04</t>
  </si>
  <si>
    <t>2020/07</t>
  </si>
  <si>
    <t>2017/03</t>
  </si>
  <si>
    <t>2016/05</t>
  </si>
  <si>
    <t>2020/01</t>
  </si>
  <si>
    <t>2021/02</t>
  </si>
  <si>
    <t>2019/01</t>
  </si>
  <si>
    <t>2020/02</t>
  </si>
  <si>
    <t>2021/03</t>
  </si>
  <si>
    <t>专员</t>
  </si>
  <si>
    <t>2019/02</t>
  </si>
  <si>
    <t>2018/04</t>
  </si>
  <si>
    <t>广州X省公司</t>
  </si>
  <si>
    <t>南昌XX公司</t>
  </si>
  <si>
    <t>2019/04</t>
  </si>
  <si>
    <t>南昌X省公司</t>
  </si>
  <si>
    <t>南昌X公司</t>
  </si>
  <si>
    <t>姓名查询：</t>
  </si>
  <si>
    <t>员工履历表</t>
  </si>
  <si>
    <t>个人基本资料</t>
  </si>
  <si>
    <t>身份证号码</t>
  </si>
  <si>
    <t>户籍地址</t>
  </si>
  <si>
    <t>现 住 址</t>
  </si>
  <si>
    <t>教育经历</t>
  </si>
  <si>
    <t>工作经历</t>
  </si>
  <si>
    <t>任职信息</t>
  </si>
  <si>
    <t>合同开始日期</t>
  </si>
  <si>
    <t>结束日期</t>
  </si>
  <si>
    <t>合同到期提醒</t>
  </si>
  <si>
    <t>其他信息</t>
  </si>
  <si>
    <t>社保帐号</t>
  </si>
  <si>
    <t>公积金帐号</t>
  </si>
  <si>
    <t>说明：</t>
  </si>
  <si>
    <t>1、【员工花名册】填写员工基本信息，注意带公式的列可自动计算，不需手动输入（注：带公式列已红色字体标记）</t>
  </si>
  <si>
    <t>2、【员工花名册】合同到期提醒：如合同已过期，将深红色突出标示；合同即将到期的30天内将以浅粉色提示标示</t>
  </si>
  <si>
    <t>3、【员工履历表】根据条件查询员工基本信息，可按照员工姓名返回汇总员工的履历明细</t>
  </si>
  <si>
    <t>4、【首页】各类图表根据统计的数据生成图表，图表根据实际数据自动调整</t>
  </si>
  <si>
    <t>5、表格具有强大的灵活性，实际使用中可根据自己需要自由调整</t>
  </si>
</sst>
</file>

<file path=xl/styles.xml><?xml version="1.0" encoding="utf-8"?>
<styleSheet xmlns="http://schemas.openxmlformats.org/spreadsheetml/2006/main">
  <numFmts count="13">
    <numFmt numFmtId="176" formatCode="0.0_ "/>
    <numFmt numFmtId="177" formatCode="[$-F800]dddd\,\ mmmm\ dd\,\ yyyy"/>
    <numFmt numFmtId="178" formatCode="yyyy&quot;年&quot;m&quot;月&quot;;@"/>
    <numFmt numFmtId="179" formatCode="dd"/>
    <numFmt numFmtId="180" formatCode="yyyy&quot;年&quot;m&quot;月&quot;d&quot;日&quot;;@"/>
    <numFmt numFmtId="181" formatCode="yyyy/mm/dd;@"/>
    <numFmt numFmtId="41" formatCode="_ * #,##0_ ;_ * \-#,##0_ ;_ * &quot;-&quot;_ ;_ @_ "/>
    <numFmt numFmtId="43" formatCode="_ * #,##0.00_ ;_ * \-#,##0.00_ ;_ * &quot;-&quot;??_ ;_ @_ "/>
    <numFmt numFmtId="182" formatCode="0.0_);[Red]\(0.0\)"/>
    <numFmt numFmtId="42" formatCode="_ &quot;￥&quot;* #,##0_ ;_ &quot;￥&quot;* \-#,##0_ ;_ &quot;￥&quot;* &quot;-&quot;_ ;_ @_ "/>
    <numFmt numFmtId="183" formatCode="000000"/>
    <numFmt numFmtId="44" formatCode="_ &quot;￥&quot;* #,##0.00_ ;_ &quot;￥&quot;* \-#,##0.00_ ;_ &quot;￥&quot;* &quot;-&quot;??_ ;_ @_ "/>
    <numFmt numFmtId="184" formatCode="yyyy/m/d;@"/>
  </numFmts>
  <fonts count="36">
    <font>
      <sz val="12"/>
      <color theme="1"/>
      <name val="宋体"/>
      <charset val="134"/>
      <scheme val="minor"/>
    </font>
    <font>
      <sz val="12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rgb="FFFF0000"/>
      <name val="宋体"/>
      <charset val="134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12"/>
      <color rgb="FF33333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EAAD7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 tint="0.6"/>
      </left>
      <right/>
      <top style="thin">
        <color theme="4" tint="0.6"/>
      </top>
      <bottom/>
      <diagonal/>
    </border>
    <border>
      <left/>
      <right/>
      <top style="thin">
        <color theme="4" tint="0.6"/>
      </top>
      <bottom/>
      <diagonal/>
    </border>
    <border>
      <left style="thin">
        <color theme="4" tint="0.6"/>
      </left>
      <right/>
      <top/>
      <bottom style="thin">
        <color theme="4" tint="0.6"/>
      </bottom>
      <diagonal/>
    </border>
    <border>
      <left/>
      <right/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6"/>
      </top>
      <bottom/>
      <diagonal/>
    </border>
    <border>
      <left/>
      <right style="thin">
        <color theme="4" tint="0.6"/>
      </right>
      <top/>
      <bottom style="thin">
        <color theme="4" tint="0.6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4" fillId="3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5" fillId="34" borderId="20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5" borderId="18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183" fontId="0" fillId="0" borderId="0" xfId="0" applyNumberFormat="1" applyFill="1">
      <alignment vertical="center"/>
    </xf>
    <xf numFmtId="0" fontId="5" fillId="3" borderId="0" xfId="0" applyFont="1" applyFill="1" applyAlignment="1">
      <alignment horizontal="center" vertical="center"/>
    </xf>
    <xf numFmtId="183" fontId="5" fillId="0" borderId="0" xfId="0" applyNumberFormat="1" applyFont="1" applyFill="1">
      <alignment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83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textRotation="255"/>
      <protection hidden="1"/>
    </xf>
    <xf numFmtId="0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49" fontId="7" fillId="0" borderId="1" xfId="0" applyNumberFormat="1" applyFont="1" applyFill="1" applyBorder="1" applyAlignment="1" applyProtection="1">
      <alignment horizontal="center" vertical="center"/>
      <protection hidden="1"/>
    </xf>
    <xf numFmtId="183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183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180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178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 applyProtection="1">
      <alignment horizontal="center" vertical="center" textRotation="255" wrapText="1"/>
      <protection hidden="1"/>
    </xf>
    <xf numFmtId="184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2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3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82" fontId="7" fillId="0" borderId="1" xfId="0" applyNumberFormat="1" applyFont="1" applyFill="1" applyBorder="1" applyAlignment="1" applyProtection="1">
      <alignment horizontal="center" vertical="center"/>
      <protection hidden="1"/>
    </xf>
    <xf numFmtId="177" fontId="7" fillId="0" borderId="1" xfId="0" applyNumberFormat="1" applyFont="1" applyFill="1" applyBorder="1" applyAlignment="1" applyProtection="1">
      <alignment horizontal="center" vertical="center"/>
      <protection hidden="1"/>
    </xf>
    <xf numFmtId="180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>
      <alignment horizontal="center" vertical="center"/>
    </xf>
    <xf numFmtId="184" fontId="7" fillId="0" borderId="2" xfId="0" applyNumberFormat="1" applyFont="1" applyFill="1" applyBorder="1" applyAlignment="1" applyProtection="1">
      <alignment horizontal="center" vertical="center" shrinkToFit="1"/>
      <protection hidden="1"/>
    </xf>
    <xf numFmtId="184" fontId="7" fillId="0" borderId="4" xfId="0" applyNumberFormat="1" applyFont="1" applyFill="1" applyBorder="1" applyAlignment="1" applyProtection="1">
      <alignment horizontal="center" vertical="center" shrinkToFit="1"/>
      <protection hidden="1"/>
    </xf>
    <xf numFmtId="182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176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4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84" fontId="10" fillId="0" borderId="0" xfId="0" applyNumberFormat="1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184" fontId="11" fillId="3" borderId="1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84" fontId="9" fillId="4" borderId="1" xfId="0" applyNumberFormat="1" applyFont="1" applyFill="1" applyBorder="1" applyAlignment="1">
      <alignment horizontal="center" vertical="center"/>
    </xf>
    <xf numFmtId="18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84" fontId="11" fillId="3" borderId="2" xfId="0" applyNumberFormat="1" applyFont="1" applyFill="1" applyBorder="1" applyAlignment="1">
      <alignment horizontal="center" vertical="center"/>
    </xf>
    <xf numFmtId="184" fontId="11" fillId="3" borderId="3" xfId="0" applyNumberFormat="1" applyFont="1" applyFill="1" applyBorder="1" applyAlignment="1">
      <alignment horizontal="center" vertical="center"/>
    </xf>
    <xf numFmtId="184" fontId="11" fillId="3" borderId="4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84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81" fontId="15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84" fontId="13" fillId="3" borderId="1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18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184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79" fontId="16" fillId="0" borderId="0" xfId="0" applyNumberFormat="1" applyFont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14" fontId="5" fillId="3" borderId="7" xfId="0" applyNumberFormat="1" applyFont="1" applyFill="1" applyBorder="1" applyAlignment="1">
      <alignment horizontal="center" vertical="center"/>
    </xf>
    <xf numFmtId="14" fontId="5" fillId="3" borderId="8" xfId="0" applyNumberFormat="1" applyFont="1" applyFill="1" applyBorder="1" applyAlignment="1">
      <alignment horizontal="center" vertical="center"/>
    </xf>
    <xf numFmtId="14" fontId="5" fillId="3" borderId="12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14" fontId="5" fillId="3" borderId="13" xfId="0" applyNumberFormat="1" applyFont="1" applyFill="1" applyBorder="1" applyAlignment="1">
      <alignment horizontal="center" vertical="center"/>
    </xf>
    <xf numFmtId="10" fontId="0" fillId="4" borderId="11" xfId="0" applyNumberFormat="1" applyFill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6">
    <dxf>
      <fill>
        <patternFill patternType="solid">
          <bgColor rgb="FFFF0000"/>
        </patternFill>
      </fill>
    </dxf>
    <dxf>
      <fill>
        <patternFill patternType="solid">
          <bgColor rgb="FFED4146"/>
        </patternFill>
      </fill>
    </dxf>
    <dxf>
      <fill>
        <patternFill patternType="solid">
          <bgColor theme="5" tint="0.8"/>
        </patternFill>
      </fill>
    </dxf>
    <dxf>
      <fill>
        <patternFill patternType="solid">
          <bgColor theme="5" tint="0.8"/>
        </patternFill>
      </fill>
    </dxf>
    <dxf>
      <font>
        <strike val="1"/>
        <color indexed="9"/>
      </font>
    </dxf>
    <dxf>
      <font>
        <color indexed="10"/>
      </font>
    </dxf>
  </dxfs>
  <tableStyles count="0" defaultTableStyle="TableStyleMedium2" defaultPivotStyle="PivotStyleLight16"/>
  <colors>
    <mruColors>
      <color rgb="00ED41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主页!$K$2:$K$3</c:f>
              <c:strCache>
                <c:ptCount val="1"/>
                <c:pt idx="0">
                  <c:v>性别结构 人数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explosion val="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主页!$J$4:$J$6</c15:sqref>
                  </c15:fullRef>
                </c:ext>
              </c:extLst>
              <c:f>主页!$J$4:$J$5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主页!$K$4:$K$6</c15:sqref>
                  </c15:fullRef>
                </c:ext>
              </c:extLst>
              <c:f>主页!$K$4:$K$5</c:f>
              <c:numCache>
                <c:formatCode>General</c:formatCode>
                <c:ptCount val="2"/>
                <c:pt idx="0">
                  <c:v>21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主页!$L$3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主页!$J$4:$J$6</c15:sqref>
                  </c15:fullRef>
                </c:ext>
              </c:extLst>
              <c:f>主页!$J$4:$J$5</c:f>
              <c:strCache>
                <c:ptCount val="2"/>
                <c:pt idx="0">
                  <c:v>男</c:v>
                </c:pt>
                <c:pt idx="1">
                  <c:v>女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主页!$L$4:$L$6</c15:sqref>
                  </c15:fullRef>
                </c:ext>
              </c:extLst>
              <c:f>主页!$L$4:$L$5</c:f>
              <c:numCache>
                <c:formatCode>0.00%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主页!$K$10</c:f>
              <c:strCache>
                <c:ptCount val="1"/>
                <c:pt idx="0">
                  <c:v>人数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主页!$J$11:$J$13</c15:sqref>
                  </c15:fullRef>
                </c:ext>
              </c:extLst>
              <c:f>主页!$J$11:$J$12</c:f>
              <c:strCache>
                <c:ptCount val="2"/>
                <c:pt idx="0">
                  <c:v>已婚</c:v>
                </c:pt>
                <c:pt idx="1">
                  <c:v>未婚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主页!$K$11:$K$13</c15:sqref>
                  </c15:fullRef>
                </c:ext>
              </c:extLst>
              <c:f>主页!$K$11:$K$12</c:f>
              <c:numCache>
                <c:formatCode>General</c:formatCode>
                <c:ptCount val="2"/>
                <c:pt idx="0">
                  <c:v>13</c:v>
                </c:pt>
                <c:pt idx="1">
                  <c:v>17</c:v>
                </c:pt>
              </c:numCache>
            </c:numRef>
          </c:val>
        </c:ser>
        <c:ser>
          <c:idx val="1"/>
          <c:order val="1"/>
          <c:tx>
            <c:strRef>
              <c:f>主页!$L$10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主页!$J$11:$J$13</c15:sqref>
                  </c15:fullRef>
                </c:ext>
              </c:extLst>
              <c:f>主页!$J$11:$J$12</c:f>
              <c:strCache>
                <c:ptCount val="2"/>
                <c:pt idx="0">
                  <c:v>已婚</c:v>
                </c:pt>
                <c:pt idx="1">
                  <c:v>未婚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主页!$L$11:$L$13</c15:sqref>
                  </c15:fullRef>
                </c:ext>
              </c:extLst>
              <c:f>主页!$L$11:$L$12</c:f>
              <c:numCache>
                <c:formatCode>0.00%</c:formatCode>
                <c:ptCount val="2"/>
                <c:pt idx="0">
                  <c:v>0.433333333333333</c:v>
                </c:pt>
                <c:pt idx="1">
                  <c:v>0.566666666666667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ayout>
        <c:manualLayout>
          <c:xMode val="edge"/>
          <c:yMode val="edge"/>
          <c:x val="0.0319719953325554"/>
          <c:y val="0.438707528314457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主页!$D$10:$D$10</c:f>
              <c:strCache>
                <c:ptCount val="1"/>
                <c:pt idx="0">
                  <c:v>人数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explosion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主页!$C$11:$C$14</c15:sqref>
                  </c15:fullRef>
                </c:ext>
              </c:extLst>
              <c:f>主页!$C$11:$C$13</c:f>
              <c:strCache>
                <c:ptCount val="3"/>
                <c:pt idx="0">
                  <c:v>党员</c:v>
                </c:pt>
                <c:pt idx="1">
                  <c:v>预备党员</c:v>
                </c:pt>
                <c:pt idx="2">
                  <c:v>群众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主页!$D$11:$D$14</c15:sqref>
                  </c15:fullRef>
                </c:ext>
              </c:extLst>
              <c:f>主页!$D$11:$D$13</c:f>
              <c:numCache>
                <c:formatCode>General</c:formatCode>
                <c:ptCount val="3"/>
                <c:pt idx="0">
                  <c:v>5</c:v>
                </c:pt>
                <c:pt idx="1">
                  <c:v>1</c:v>
                </c:pt>
                <c:pt idx="2">
                  <c:v>24</c:v>
                </c:pt>
              </c:numCache>
            </c:numRef>
          </c:val>
        </c:ser>
        <c:ser>
          <c:idx val="1"/>
          <c:order val="1"/>
          <c:tx>
            <c:strRef>
              <c:f>主页!$E$10:$E$10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主页!$C$11:$C$14</c15:sqref>
                  </c15:fullRef>
                </c:ext>
              </c:extLst>
              <c:f>主页!$C$11:$C$13</c:f>
              <c:strCache>
                <c:ptCount val="3"/>
                <c:pt idx="0">
                  <c:v>党员</c:v>
                </c:pt>
                <c:pt idx="1">
                  <c:v>预备党员</c:v>
                </c:pt>
                <c:pt idx="2">
                  <c:v>群众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主页!$E$11:$E$14</c15:sqref>
                  </c15:fullRef>
                </c:ext>
              </c:extLst>
              <c:f>主页!$E$11:$E$13</c:f>
              <c:numCache>
                <c:formatCode>0.00%</c:formatCode>
                <c:ptCount val="3"/>
                <c:pt idx="0">
                  <c:v>0.166666666666667</c:v>
                </c:pt>
                <c:pt idx="1">
                  <c:v>0.0333333333333333</c:v>
                </c:pt>
                <c:pt idx="2">
                  <c:v>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主页!$D$28</c:f>
              <c:strCache>
                <c:ptCount val="1"/>
                <c:pt idx="0">
                  <c:v>人数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主页!$C$29:$C$34</c15:sqref>
                  </c15:fullRef>
                </c:ext>
              </c:extLst>
              <c:f>主页!$C$29:$C$33</c:f>
              <c:strCache>
                <c:ptCount val="5"/>
                <c:pt idx="0">
                  <c:v>25岁以下</c:v>
                </c:pt>
                <c:pt idx="1">
                  <c:v>15-30</c:v>
                </c:pt>
                <c:pt idx="2">
                  <c:v>30-35</c:v>
                </c:pt>
                <c:pt idx="3">
                  <c:v>35-40</c:v>
                </c:pt>
                <c:pt idx="4">
                  <c:v>40岁以上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主页!$D$29:$D$34</c15:sqref>
                  </c15:fullRef>
                </c:ext>
              </c:extLst>
              <c:f>主页!$D$29:$D$33</c:f>
              <c:numCache>
                <c:formatCode>General</c:formatCode>
                <c:ptCount val="5"/>
                <c:pt idx="0">
                  <c:v>8</c:v>
                </c:pt>
                <c:pt idx="1">
                  <c:v>14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</c:numCache>
            </c:numRef>
          </c:val>
        </c:ser>
        <c:ser>
          <c:idx val="1"/>
          <c:order val="1"/>
          <c:tx>
            <c:strRef>
              <c:f>主页!$E$28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主页!$C$29:$C$34</c15:sqref>
                  </c15:fullRef>
                </c:ext>
              </c:extLst>
              <c:f>主页!$C$29:$C$33</c:f>
              <c:strCache>
                <c:ptCount val="5"/>
                <c:pt idx="0">
                  <c:v>25岁以下</c:v>
                </c:pt>
                <c:pt idx="1">
                  <c:v>15-30</c:v>
                </c:pt>
                <c:pt idx="2">
                  <c:v>30-35</c:v>
                </c:pt>
                <c:pt idx="3">
                  <c:v>35-40</c:v>
                </c:pt>
                <c:pt idx="4">
                  <c:v>40岁以上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主页!$E$29:$E$34</c15:sqref>
                  </c15:fullRef>
                </c:ext>
              </c:extLst>
              <c:f>主页!$E$29:$E$33</c:f>
              <c:numCache>
                <c:formatCode>0.00%</c:formatCode>
                <c:ptCount val="5"/>
                <c:pt idx="0">
                  <c:v>0.266666666666667</c:v>
                </c:pt>
                <c:pt idx="1">
                  <c:v>0.466666666666667</c:v>
                </c:pt>
                <c:pt idx="2">
                  <c:v>0.0666666666666667</c:v>
                </c:pt>
                <c:pt idx="3">
                  <c:v>0.0666666666666667</c:v>
                </c:pt>
                <c:pt idx="4">
                  <c:v>0.133333333333333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主页!$D$17</c:f>
              <c:strCache>
                <c:ptCount val="1"/>
                <c:pt idx="0">
                  <c:v>人数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主页!$C$18:$C$23</c15:sqref>
                  </c15:fullRef>
                </c:ext>
              </c:extLst>
              <c:f>主页!$C$18:$C$22</c:f>
              <c:strCache>
                <c:ptCount val="5"/>
                <c:pt idx="0">
                  <c:v>1年以内</c:v>
                </c:pt>
                <c:pt idx="1">
                  <c:v>1-3年</c:v>
                </c:pt>
                <c:pt idx="2">
                  <c:v>3-5年</c:v>
                </c:pt>
                <c:pt idx="3">
                  <c:v>5-10年</c:v>
                </c:pt>
                <c:pt idx="4">
                  <c:v>10年以上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主页!$D$18:$D$23</c15:sqref>
                  </c15:fullRef>
                </c:ext>
              </c:extLst>
              <c:f>主页!$D$18:$D$22</c:f>
              <c:numCache>
                <c:formatCode>General</c:formatCode>
                <c:ptCount val="5"/>
                <c:pt idx="0">
                  <c:v>5</c:v>
                </c:pt>
                <c:pt idx="1">
                  <c:v>20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主页!$E$17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主页!$C$18:$C$23</c15:sqref>
                  </c15:fullRef>
                </c:ext>
              </c:extLst>
              <c:f>主页!$C$18:$C$22</c:f>
              <c:strCache>
                <c:ptCount val="5"/>
                <c:pt idx="0">
                  <c:v>1年以内</c:v>
                </c:pt>
                <c:pt idx="1">
                  <c:v>1-3年</c:v>
                </c:pt>
                <c:pt idx="2">
                  <c:v>3-5年</c:v>
                </c:pt>
                <c:pt idx="3">
                  <c:v>5-10年</c:v>
                </c:pt>
                <c:pt idx="4">
                  <c:v>10年以上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主页!$E$18:$E$23</c15:sqref>
                  </c15:fullRef>
                </c:ext>
              </c:extLst>
              <c:f>主页!$E$18:$E$22</c:f>
              <c:numCache>
                <c:formatCode>0.00%</c:formatCode>
                <c:ptCount val="5"/>
                <c:pt idx="0">
                  <c:v>0.166666666666667</c:v>
                </c:pt>
                <c:pt idx="1">
                  <c:v>0.666666666666667</c:v>
                </c:pt>
                <c:pt idx="2">
                  <c:v>0.133333333333333</c:v>
                </c:pt>
                <c:pt idx="3">
                  <c:v>0.0333333333333333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主页!$K$17</c:f>
              <c:strCache>
                <c:ptCount val="1"/>
                <c:pt idx="0">
                  <c:v>人数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bg2">
                  <a:lumMod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主页!$J$18:$J$26</c15:sqref>
                  </c15:fullRef>
                </c:ext>
              </c:extLst>
              <c:f>主页!$J$18:$J$25</c:f>
              <c:strCache>
                <c:ptCount val="8"/>
                <c:pt idx="0">
                  <c:v>博士后</c:v>
                </c:pt>
                <c:pt idx="1">
                  <c:v>博士</c:v>
                </c:pt>
                <c:pt idx="2">
                  <c:v>硕士</c:v>
                </c:pt>
                <c:pt idx="3">
                  <c:v>本科</c:v>
                </c:pt>
                <c:pt idx="4">
                  <c:v>大专</c:v>
                </c:pt>
                <c:pt idx="5">
                  <c:v>中专</c:v>
                </c:pt>
                <c:pt idx="6">
                  <c:v>高中</c:v>
                </c:pt>
                <c:pt idx="7">
                  <c:v>初中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主页!$K$18:$K$26</c15:sqref>
                  </c15:fullRef>
                </c:ext>
              </c:extLst>
              <c:f>主页!$K$18:$K$25</c:f>
              <c:numCache>
                <c:formatCode>General</c:formatCode>
                <c:ptCount val="8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11</c:v>
                </c:pt>
                <c:pt idx="4">
                  <c:v>13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主页!$L$17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主页!$J$18:$J$26</c15:sqref>
                  </c15:fullRef>
                </c:ext>
              </c:extLst>
              <c:f>主页!$J$18:$J$25</c:f>
              <c:strCache>
                <c:ptCount val="8"/>
                <c:pt idx="0">
                  <c:v>博士后</c:v>
                </c:pt>
                <c:pt idx="1">
                  <c:v>博士</c:v>
                </c:pt>
                <c:pt idx="2">
                  <c:v>硕士</c:v>
                </c:pt>
                <c:pt idx="3">
                  <c:v>本科</c:v>
                </c:pt>
                <c:pt idx="4">
                  <c:v>大专</c:v>
                </c:pt>
                <c:pt idx="5">
                  <c:v>中专</c:v>
                </c:pt>
                <c:pt idx="6">
                  <c:v>高中</c:v>
                </c:pt>
                <c:pt idx="7">
                  <c:v>初中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主页!$L$18:$L$26</c15:sqref>
                  </c15:fullRef>
                </c:ext>
              </c:extLst>
              <c:f>主页!$L$18:$L$25</c:f>
              <c:numCache>
                <c:formatCode>0.00%</c:formatCode>
                <c:ptCount val="8"/>
                <c:pt idx="0">
                  <c:v>0</c:v>
                </c:pt>
                <c:pt idx="1">
                  <c:v>0.0666666666666667</c:v>
                </c:pt>
                <c:pt idx="2">
                  <c:v>0.0666666666666667</c:v>
                </c:pt>
                <c:pt idx="3">
                  <c:v>0.366666666666667</c:v>
                </c:pt>
                <c:pt idx="4">
                  <c:v>0.433333333333333</c:v>
                </c:pt>
                <c:pt idx="5">
                  <c:v>0.0333333333333333</c:v>
                </c:pt>
                <c:pt idx="6">
                  <c:v>0.0333333333333333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主页!$K$28</c:f>
              <c:strCache>
                <c:ptCount val="1"/>
                <c:pt idx="0">
                  <c:v>人数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主页!$J$29:$J$34</c15:sqref>
                  </c15:fullRef>
                </c:ext>
              </c:extLst>
              <c:f>主页!$J$29:$J$33</c:f>
              <c:strCache>
                <c:ptCount val="5"/>
                <c:pt idx="0">
                  <c:v>总经办</c:v>
                </c:pt>
                <c:pt idx="1">
                  <c:v>综管部</c:v>
                </c:pt>
                <c:pt idx="2">
                  <c:v>财务部</c:v>
                </c:pt>
                <c:pt idx="3">
                  <c:v>研发部</c:v>
                </c:pt>
                <c:pt idx="4">
                  <c:v>营销部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主页!$K$29:$K$34</c15:sqref>
                  </c15:fullRef>
                </c:ext>
              </c:extLst>
              <c:f>主页!$K$29:$K$33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15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tx>
            <c:strRef>
              <c:f>主页!$L$28</c:f>
              <c:strCache>
                <c:ptCount val="1"/>
                <c:pt idx="0">
                  <c:v>占比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主页!$J$29:$J$34</c15:sqref>
                  </c15:fullRef>
                </c:ext>
              </c:extLst>
              <c:f>主页!$J$29:$J$33</c:f>
              <c:strCache>
                <c:ptCount val="5"/>
                <c:pt idx="0">
                  <c:v>总经办</c:v>
                </c:pt>
                <c:pt idx="1">
                  <c:v>综管部</c:v>
                </c:pt>
                <c:pt idx="2">
                  <c:v>财务部</c:v>
                </c:pt>
                <c:pt idx="3">
                  <c:v>研发部</c:v>
                </c:pt>
                <c:pt idx="4">
                  <c:v>营销部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主页!$L$29:$L$34</c15:sqref>
                  </c15:fullRef>
                </c:ext>
              </c:extLst>
              <c:f>主页!$L$29:$L$33</c:f>
              <c:numCache>
                <c:formatCode>0.00%</c:formatCode>
                <c:ptCount val="5"/>
                <c:pt idx="0">
                  <c:v>0.1</c:v>
                </c:pt>
                <c:pt idx="1">
                  <c:v>0.133333333333333</c:v>
                </c:pt>
                <c:pt idx="2">
                  <c:v>0.1</c:v>
                </c:pt>
                <c:pt idx="3">
                  <c:v>0.5</c:v>
                </c:pt>
                <c:pt idx="4">
                  <c:v>0.166666666666667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chart" Target="../charts/chart7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13970</xdr:colOff>
      <xdr:row>1</xdr:row>
      <xdr:rowOff>304800</xdr:rowOff>
    </xdr:from>
    <xdr:to>
      <xdr:col>14</xdr:col>
      <xdr:colOff>1014730</xdr:colOff>
      <xdr:row>7</xdr:row>
      <xdr:rowOff>291465</xdr:rowOff>
    </xdr:to>
    <xdr:graphicFrame>
      <xdr:nvGraphicFramePr>
        <xdr:cNvPr id="4" name="图表 3"/>
        <xdr:cNvGraphicFramePr/>
      </xdr:nvGraphicFramePr>
      <xdr:xfrm>
        <a:off x="8676005" y="622300"/>
        <a:ext cx="3032760" cy="18916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20955</xdr:colOff>
      <xdr:row>8</xdr:row>
      <xdr:rowOff>313690</xdr:rowOff>
    </xdr:from>
    <xdr:to>
      <xdr:col>14</xdr:col>
      <xdr:colOff>1012825</xdr:colOff>
      <xdr:row>14</xdr:row>
      <xdr:rowOff>280670</xdr:rowOff>
    </xdr:to>
    <xdr:graphicFrame>
      <xdr:nvGraphicFramePr>
        <xdr:cNvPr id="5" name="图表 4"/>
        <xdr:cNvGraphicFramePr/>
      </xdr:nvGraphicFramePr>
      <xdr:xfrm>
        <a:off x="8682990" y="2853690"/>
        <a:ext cx="3023870" cy="18719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15240</xdr:colOff>
      <xdr:row>9</xdr:row>
      <xdr:rowOff>21590</xdr:rowOff>
    </xdr:from>
    <xdr:to>
      <xdr:col>7</xdr:col>
      <xdr:colOff>1015365</xdr:colOff>
      <xdr:row>14</xdr:row>
      <xdr:rowOff>306070</xdr:rowOff>
    </xdr:to>
    <xdr:graphicFrame>
      <xdr:nvGraphicFramePr>
        <xdr:cNvPr id="6" name="图表 5"/>
        <xdr:cNvGraphicFramePr/>
      </xdr:nvGraphicFramePr>
      <xdr:xfrm>
        <a:off x="2870835" y="2879090"/>
        <a:ext cx="3032125" cy="18719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17780</xdr:colOff>
      <xdr:row>27</xdr:row>
      <xdr:rowOff>10795</xdr:rowOff>
    </xdr:from>
    <xdr:to>
      <xdr:col>7</xdr:col>
      <xdr:colOff>1009650</xdr:colOff>
      <xdr:row>32</xdr:row>
      <xdr:rowOff>295275</xdr:rowOff>
    </xdr:to>
    <xdr:graphicFrame>
      <xdr:nvGraphicFramePr>
        <xdr:cNvPr id="8" name="图表 7"/>
        <xdr:cNvGraphicFramePr/>
      </xdr:nvGraphicFramePr>
      <xdr:xfrm>
        <a:off x="2873375" y="8583295"/>
        <a:ext cx="3023870" cy="18719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26035</xdr:colOff>
      <xdr:row>16</xdr:row>
      <xdr:rowOff>37465</xdr:rowOff>
    </xdr:from>
    <xdr:to>
      <xdr:col>7</xdr:col>
      <xdr:colOff>1032510</xdr:colOff>
      <xdr:row>22</xdr:row>
      <xdr:rowOff>25400</xdr:rowOff>
    </xdr:to>
    <xdr:graphicFrame>
      <xdr:nvGraphicFramePr>
        <xdr:cNvPr id="9" name="图表 8"/>
        <xdr:cNvGraphicFramePr/>
      </xdr:nvGraphicFramePr>
      <xdr:xfrm>
        <a:off x="2881630" y="5117465"/>
        <a:ext cx="3021965" cy="18929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12700</xdr:colOff>
      <xdr:row>16</xdr:row>
      <xdr:rowOff>0</xdr:rowOff>
    </xdr:from>
    <xdr:to>
      <xdr:col>14</xdr:col>
      <xdr:colOff>1004570</xdr:colOff>
      <xdr:row>21</xdr:row>
      <xdr:rowOff>285115</xdr:rowOff>
    </xdr:to>
    <xdr:graphicFrame>
      <xdr:nvGraphicFramePr>
        <xdr:cNvPr id="10" name="图表 9"/>
        <xdr:cNvGraphicFramePr/>
      </xdr:nvGraphicFramePr>
      <xdr:xfrm>
        <a:off x="8674735" y="5080000"/>
        <a:ext cx="3023870" cy="18726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20955</xdr:colOff>
      <xdr:row>27</xdr:row>
      <xdr:rowOff>31115</xdr:rowOff>
    </xdr:from>
    <xdr:to>
      <xdr:col>14</xdr:col>
      <xdr:colOff>1013460</xdr:colOff>
      <xdr:row>32</xdr:row>
      <xdr:rowOff>315595</xdr:rowOff>
    </xdr:to>
    <xdr:graphicFrame>
      <xdr:nvGraphicFramePr>
        <xdr:cNvPr id="11" name="图表 10"/>
        <xdr:cNvGraphicFramePr/>
      </xdr:nvGraphicFramePr>
      <xdr:xfrm>
        <a:off x="8682990" y="8603615"/>
        <a:ext cx="3024505" cy="18719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O34"/>
  <sheetViews>
    <sheetView tabSelected="1" workbookViewId="0">
      <selection activeCell="F8" sqref="F8:H8"/>
    </sheetView>
  </sheetViews>
  <sheetFormatPr defaultColWidth="9.714" defaultRowHeight="25" customHeight="1"/>
  <cols>
    <col min="1" max="1" width="5.0625" style="56" customWidth="1"/>
    <col min="2" max="2" width="5.651" style="56" customWidth="1"/>
    <col min="3" max="3" width="14.9285714285714" style="56" customWidth="1"/>
    <col min="4" max="4" width="5.651" style="56" customWidth="1"/>
    <col min="5" max="5" width="8.857" style="78" customWidth="1"/>
    <col min="6" max="8" width="14.2857142857143" style="56" customWidth="1"/>
    <col min="9" max="9" width="1.92857142857143" style="56" customWidth="1"/>
    <col min="10" max="10" width="14.9285714285714" style="56" customWidth="1"/>
    <col min="11" max="11" width="9.714" style="56"/>
    <col min="12" max="12" width="12.7857142857143" style="78"/>
    <col min="13" max="15" width="14.2857142857143" style="56" customWidth="1"/>
    <col min="16" max="16384" width="9.714" style="56"/>
  </cols>
  <sheetData>
    <row r="2" customHeight="1" spans="3:15">
      <c r="C2" s="79" t="s">
        <v>0</v>
      </c>
      <c r="D2" s="80"/>
      <c r="E2" s="87"/>
      <c r="F2" s="88">
        <f ca="1">TODAY()</f>
        <v>44350</v>
      </c>
      <c r="G2" s="89"/>
      <c r="H2" s="90"/>
      <c r="J2" s="85" t="s">
        <v>1</v>
      </c>
      <c r="K2" s="85"/>
      <c r="L2" s="85"/>
      <c r="M2" s="85"/>
      <c r="N2" s="85"/>
      <c r="O2" s="85"/>
    </row>
    <row r="3" customHeight="1" spans="1:15">
      <c r="A3" s="81"/>
      <c r="C3" s="82"/>
      <c r="D3" s="83"/>
      <c r="E3" s="91"/>
      <c r="F3" s="92"/>
      <c r="G3" s="93"/>
      <c r="H3" s="94"/>
      <c r="J3" s="84" t="s">
        <v>2</v>
      </c>
      <c r="K3" s="84" t="s">
        <v>3</v>
      </c>
      <c r="L3" s="95" t="s">
        <v>4</v>
      </c>
      <c r="M3" s="86"/>
      <c r="N3" s="86"/>
      <c r="O3" s="86"/>
    </row>
    <row r="4" customHeight="1" spans="1:15">
      <c r="A4" s="81"/>
      <c r="C4" s="84" t="s">
        <v>5</v>
      </c>
      <c r="D4" s="84"/>
      <c r="E4" s="84"/>
      <c r="F4" s="86">
        <f ca="1">F5+F6</f>
        <v>30</v>
      </c>
      <c r="G4" s="86"/>
      <c r="H4" s="86"/>
      <c r="J4" s="86" t="s">
        <v>6</v>
      </c>
      <c r="K4" s="86">
        <f>COUNTIF(员工花名册!D:D,"男")</f>
        <v>21</v>
      </c>
      <c r="L4" s="96">
        <f>K4/K6</f>
        <v>0.7</v>
      </c>
      <c r="M4" s="86"/>
      <c r="N4" s="86"/>
      <c r="O4" s="86"/>
    </row>
    <row r="5" customHeight="1" spans="1:15">
      <c r="A5" s="81"/>
      <c r="C5" s="84" t="s">
        <v>7</v>
      </c>
      <c r="D5" s="84"/>
      <c r="E5" s="84"/>
      <c r="F5" s="86">
        <f ca="1">COUNTIF(员工花名册!AF:AF,"在职")</f>
        <v>29</v>
      </c>
      <c r="G5" s="86"/>
      <c r="H5" s="86"/>
      <c r="J5" s="86" t="s">
        <v>8</v>
      </c>
      <c r="K5" s="86">
        <f>COUNTIF(员工花名册!D:D,"女")</f>
        <v>9</v>
      </c>
      <c r="L5" s="96">
        <f>K5/K6</f>
        <v>0.3</v>
      </c>
      <c r="M5" s="86"/>
      <c r="N5" s="86"/>
      <c r="O5" s="86"/>
    </row>
    <row r="6" customHeight="1" spans="1:15">
      <c r="A6" s="81"/>
      <c r="C6" s="84" t="s">
        <v>9</v>
      </c>
      <c r="D6" s="84"/>
      <c r="E6" s="84"/>
      <c r="F6" s="86">
        <f ca="1">COUNTIF(员工花名册!AF:AF,"已离职")</f>
        <v>1</v>
      </c>
      <c r="G6" s="86"/>
      <c r="H6" s="86"/>
      <c r="J6" s="86" t="s">
        <v>10</v>
      </c>
      <c r="K6" s="86">
        <f>SUM(K4:K5)</f>
        <v>30</v>
      </c>
      <c r="L6" s="96">
        <f>SUM(L4:L5)</f>
        <v>1</v>
      </c>
      <c r="M6" s="86"/>
      <c r="N6" s="86"/>
      <c r="O6" s="86"/>
    </row>
    <row r="7" customHeight="1" spans="3:15">
      <c r="C7" s="84" t="s">
        <v>11</v>
      </c>
      <c r="D7" s="84"/>
      <c r="E7" s="84"/>
      <c r="F7" s="86">
        <f ca="1">SUMPRODUCT((YEAR(员工花名册!AG3:AG32)=YEAR(TODAY()))*((MONTH(员工花名册!AG3:AG32)=MONTH(TODAY()))))</f>
        <v>4</v>
      </c>
      <c r="G7" s="86"/>
      <c r="H7" s="86"/>
      <c r="J7" s="86"/>
      <c r="K7" s="86"/>
      <c r="L7" s="96"/>
      <c r="M7" s="86"/>
      <c r="N7" s="86"/>
      <c r="O7" s="86"/>
    </row>
    <row r="8" customHeight="1" spans="3:15">
      <c r="C8" s="84" t="s">
        <v>12</v>
      </c>
      <c r="D8" s="84"/>
      <c r="E8" s="84"/>
      <c r="F8" s="86">
        <f ca="1">F4-F7</f>
        <v>26</v>
      </c>
      <c r="G8" s="86"/>
      <c r="H8" s="86"/>
      <c r="J8" s="86"/>
      <c r="K8" s="86"/>
      <c r="L8" s="96"/>
      <c r="M8" s="86"/>
      <c r="N8" s="86"/>
      <c r="O8" s="86"/>
    </row>
    <row r="9" customHeight="1" spans="3:15">
      <c r="C9" s="85" t="s">
        <v>13</v>
      </c>
      <c r="D9" s="85"/>
      <c r="E9" s="85"/>
      <c r="F9" s="85"/>
      <c r="G9" s="85"/>
      <c r="H9" s="85"/>
      <c r="J9" s="85" t="s">
        <v>14</v>
      </c>
      <c r="K9" s="85"/>
      <c r="L9" s="85"/>
      <c r="M9" s="85"/>
      <c r="N9" s="85"/>
      <c r="O9" s="85"/>
    </row>
    <row r="10" customHeight="1" spans="3:15">
      <c r="C10" s="84" t="s">
        <v>15</v>
      </c>
      <c r="D10" s="84" t="s">
        <v>3</v>
      </c>
      <c r="E10" s="95" t="s">
        <v>4</v>
      </c>
      <c r="F10" s="86"/>
      <c r="G10" s="86"/>
      <c r="H10" s="86"/>
      <c r="J10" s="84" t="s">
        <v>16</v>
      </c>
      <c r="K10" s="84" t="s">
        <v>3</v>
      </c>
      <c r="L10" s="95" t="s">
        <v>4</v>
      </c>
      <c r="M10" s="86"/>
      <c r="N10" s="86"/>
      <c r="O10" s="86"/>
    </row>
    <row r="11" customHeight="1" spans="3:15">
      <c r="C11" s="86" t="s">
        <v>17</v>
      </c>
      <c r="D11" s="86">
        <f>COUNTIF(员工花名册!U:U,"党员")</f>
        <v>5</v>
      </c>
      <c r="E11" s="96">
        <f>D11/D14</f>
        <v>0.6667</v>
      </c>
      <c r="F11" s="86"/>
      <c r="G11" s="86"/>
      <c r="H11" s="86"/>
      <c r="J11" s="86" t="s">
        <v>18</v>
      </c>
      <c r="K11" s="86">
        <f>COUNTIF(员工花名册!P:P,"已婚")</f>
        <v>13</v>
      </c>
      <c r="L11" s="96">
        <f>K11/K13</f>
        <v>0.433333333333333</v>
      </c>
      <c r="M11" s="86"/>
      <c r="N11" s="86"/>
      <c r="O11" s="86"/>
    </row>
    <row r="12" customHeight="1" spans="3:15">
      <c r="C12" s="86" t="s">
        <v>19</v>
      </c>
      <c r="D12" s="86">
        <f>COUNTIF(员工花名册!U:U,"预备党员")</f>
        <v>1</v>
      </c>
      <c r="E12" s="96">
        <f>D12/D14</f>
        <v>0.0333333333333333</v>
      </c>
      <c r="F12" s="86"/>
      <c r="G12" s="86"/>
      <c r="H12" s="86"/>
      <c r="J12" s="86" t="s">
        <v>20</v>
      </c>
      <c r="K12" s="86">
        <f>COUNTIF(员工花名册!P:P,"未婚")</f>
        <v>17</v>
      </c>
      <c r="L12" s="96">
        <f>K12/K13</f>
        <v>0.566666666666667</v>
      </c>
      <c r="M12" s="86"/>
      <c r="N12" s="86"/>
      <c r="O12" s="86"/>
    </row>
    <row r="13" customHeight="1" spans="3:15">
      <c r="C13" s="86" t="s">
        <v>21</v>
      </c>
      <c r="D13" s="86">
        <f>COUNTIF(员工花名册!U:U,"群众")</f>
        <v>24</v>
      </c>
      <c r="E13" s="96">
        <f>D13/D14</f>
        <v>0.8</v>
      </c>
      <c r="F13" s="86"/>
      <c r="G13" s="86"/>
      <c r="H13" s="86"/>
      <c r="J13" s="86" t="s">
        <v>10</v>
      </c>
      <c r="K13" s="86">
        <f>SUM(K11:K12)</f>
        <v>30</v>
      </c>
      <c r="L13" s="96">
        <f>SUM(L11:L12)</f>
        <v>1</v>
      </c>
      <c r="M13" s="86"/>
      <c r="N13" s="86"/>
      <c r="O13" s="86"/>
    </row>
    <row r="14" customHeight="1" spans="3:15">
      <c r="C14" s="86" t="s">
        <v>10</v>
      </c>
      <c r="D14" s="86">
        <f>SUM(D11:D13)</f>
        <v>30</v>
      </c>
      <c r="E14" s="96">
        <f>SUM(E11:E13)</f>
        <v>1</v>
      </c>
      <c r="F14" s="86"/>
      <c r="G14" s="86"/>
      <c r="H14" s="86"/>
      <c r="J14" s="86"/>
      <c r="K14" s="86"/>
      <c r="L14" s="96"/>
      <c r="M14" s="86"/>
      <c r="N14" s="86"/>
      <c r="O14" s="86"/>
    </row>
    <row r="15" customHeight="1" spans="3:15">
      <c r="C15" s="86"/>
      <c r="D15" s="86"/>
      <c r="E15" s="96"/>
      <c r="F15" s="86"/>
      <c r="G15" s="86"/>
      <c r="H15" s="86"/>
      <c r="J15" s="86"/>
      <c r="K15" s="86"/>
      <c r="L15" s="96"/>
      <c r="M15" s="86"/>
      <c r="N15" s="86"/>
      <c r="O15" s="86"/>
    </row>
    <row r="16" customHeight="1" spans="3:15">
      <c r="C16" s="85" t="s">
        <v>22</v>
      </c>
      <c r="D16" s="85"/>
      <c r="E16" s="85"/>
      <c r="F16" s="85"/>
      <c r="G16" s="85"/>
      <c r="H16" s="85"/>
      <c r="J16" s="85" t="s">
        <v>23</v>
      </c>
      <c r="K16" s="85"/>
      <c r="L16" s="85"/>
      <c r="M16" s="85"/>
      <c r="N16" s="85"/>
      <c r="O16" s="85"/>
    </row>
    <row r="17" customHeight="1" spans="3:15">
      <c r="C17" s="84" t="s">
        <v>24</v>
      </c>
      <c r="D17" s="84" t="s">
        <v>3</v>
      </c>
      <c r="E17" s="95" t="s">
        <v>4</v>
      </c>
      <c r="F17" s="86"/>
      <c r="G17" s="86"/>
      <c r="H17" s="86"/>
      <c r="J17" s="84" t="s">
        <v>25</v>
      </c>
      <c r="K17" s="84" t="s">
        <v>3</v>
      </c>
      <c r="L17" s="95" t="s">
        <v>4</v>
      </c>
      <c r="M17" s="86"/>
      <c r="N17" s="86"/>
      <c r="O17" s="86"/>
    </row>
    <row r="18" customHeight="1" spans="3:15">
      <c r="C18" s="86" t="s">
        <v>26</v>
      </c>
      <c r="D18" s="86">
        <f ca="1">COUNTIF(员工花名册!L:L,"&lt;"&amp;1)</f>
        <v>5</v>
      </c>
      <c r="E18" s="96">
        <f ca="1">D18/D23</f>
        <v>0.6667</v>
      </c>
      <c r="F18" s="86"/>
      <c r="G18" s="86"/>
      <c r="H18" s="86"/>
      <c r="J18" s="86" t="s">
        <v>27</v>
      </c>
      <c r="K18" s="86">
        <f>COUNTIF(员工花名册!X:X,"博士后")</f>
        <v>0</v>
      </c>
      <c r="L18" s="96">
        <f>K18/K26</f>
        <v>0</v>
      </c>
      <c r="M18" s="86"/>
      <c r="N18" s="86"/>
      <c r="O18" s="86"/>
    </row>
    <row r="19" customHeight="1" spans="3:15">
      <c r="C19" s="86" t="s">
        <v>28</v>
      </c>
      <c r="D19" s="86">
        <f ca="1">COUNTIFS(员工花名册!$L:$L,"&gt;"&amp;1,员工花名册!$L:$L,"&lt;="&amp;3)</f>
        <v>20</v>
      </c>
      <c r="E19" s="96">
        <f ca="1">D19/D23</f>
        <v>0.666666666666667</v>
      </c>
      <c r="F19" s="86"/>
      <c r="G19" s="86"/>
      <c r="H19" s="86"/>
      <c r="J19" s="86" t="s">
        <v>29</v>
      </c>
      <c r="K19" s="86">
        <f>COUNTIF(员工花名册!X:X,"博士")</f>
        <v>2</v>
      </c>
      <c r="L19" s="96">
        <f>K19/K26</f>
        <v>0.0666666666666667</v>
      </c>
      <c r="M19" s="86"/>
      <c r="N19" s="86"/>
      <c r="O19" s="86"/>
    </row>
    <row r="20" customHeight="1" spans="3:15">
      <c r="C20" s="86" t="s">
        <v>30</v>
      </c>
      <c r="D20" s="86">
        <f ca="1">COUNTIFS(员工花名册!$L:$L,"&gt;"&amp;3,员工花名册!$L:$L,"&lt;="&amp;5)</f>
        <v>4</v>
      </c>
      <c r="E20" s="96">
        <f ca="1">D20/D23</f>
        <v>0.3333</v>
      </c>
      <c r="F20" s="86"/>
      <c r="G20" s="86"/>
      <c r="H20" s="86"/>
      <c r="J20" s="86" t="s">
        <v>31</v>
      </c>
      <c r="K20" s="86">
        <f>COUNTIF(员工花名册!X:X,"硕士")</f>
        <v>2</v>
      </c>
      <c r="L20" s="96">
        <f>K20/K26</f>
        <v>0.0666666666666667</v>
      </c>
      <c r="M20" s="86"/>
      <c r="N20" s="86"/>
      <c r="O20" s="86"/>
    </row>
    <row r="21" customHeight="1" spans="3:15">
      <c r="C21" s="86" t="s">
        <v>32</v>
      </c>
      <c r="D21" s="86">
        <f ca="1">COUNTIFS(员工花名册!$L:$L,"&gt;"&amp;5,员工花名册!$L:$L,"&lt;="&amp;10)</f>
        <v>1</v>
      </c>
      <c r="E21" s="96">
        <f ca="1">D21/D23</f>
        <v>0.0333333333333333</v>
      </c>
      <c r="F21" s="86"/>
      <c r="G21" s="86"/>
      <c r="H21" s="86"/>
      <c r="J21" s="86" t="s">
        <v>33</v>
      </c>
      <c r="K21" s="86">
        <f>COUNTIF(员工花名册!X:X,"本科")</f>
        <v>11</v>
      </c>
      <c r="L21" s="96">
        <f>K21/K26</f>
        <v>0.366666666666667</v>
      </c>
      <c r="M21" s="86"/>
      <c r="N21" s="86"/>
      <c r="O21" s="86"/>
    </row>
    <row r="22" customHeight="1" spans="3:15">
      <c r="C22" s="86" t="s">
        <v>34</v>
      </c>
      <c r="D22" s="86">
        <f ca="1">COUNTIFS(员工花名册!$L:$L,"&gt;"&amp;10)</f>
        <v>0</v>
      </c>
      <c r="E22" s="96">
        <f ca="1">D22/D23</f>
        <v>0</v>
      </c>
      <c r="F22" s="86"/>
      <c r="G22" s="86"/>
      <c r="H22" s="86"/>
      <c r="J22" s="86" t="s">
        <v>35</v>
      </c>
      <c r="K22" s="86">
        <f>COUNTIF(员工花名册!X:X,"大专")</f>
        <v>13</v>
      </c>
      <c r="L22" s="96">
        <f>K22/K26</f>
        <v>0.433333333333333</v>
      </c>
      <c r="M22" s="86"/>
      <c r="N22" s="86"/>
      <c r="O22" s="86"/>
    </row>
    <row r="23" customHeight="1" spans="3:15">
      <c r="C23" s="86" t="s">
        <v>10</v>
      </c>
      <c r="D23" s="86">
        <f ca="1">SUM(D18:D22)</f>
        <v>30</v>
      </c>
      <c r="E23" s="96">
        <f ca="1">SUM(E18:E22)</f>
        <v>1</v>
      </c>
      <c r="F23" s="86"/>
      <c r="G23" s="86"/>
      <c r="H23" s="86"/>
      <c r="J23" s="86" t="s">
        <v>36</v>
      </c>
      <c r="K23" s="86">
        <f>COUNTIF(员工花名册!X:X,"中专")</f>
        <v>1</v>
      </c>
      <c r="L23" s="96">
        <f>K23/K26</f>
        <v>0.0333333333333333</v>
      </c>
      <c r="M23" s="86"/>
      <c r="N23" s="86"/>
      <c r="O23" s="86"/>
    </row>
    <row r="24" customHeight="1" spans="3:15">
      <c r="C24" s="86"/>
      <c r="D24" s="86"/>
      <c r="E24" s="96"/>
      <c r="F24" s="86"/>
      <c r="G24" s="86"/>
      <c r="H24" s="86"/>
      <c r="J24" s="86" t="s">
        <v>37</v>
      </c>
      <c r="K24" s="86">
        <f>COUNTIF(员工花名册!X:X,"高中")</f>
        <v>1</v>
      </c>
      <c r="L24" s="96">
        <f>K24/K26</f>
        <v>0.0333333333333333</v>
      </c>
      <c r="M24" s="86"/>
      <c r="N24" s="86"/>
      <c r="O24" s="86"/>
    </row>
    <row r="25" customHeight="1" spans="3:15">
      <c r="C25" s="86"/>
      <c r="D25" s="86"/>
      <c r="E25" s="96"/>
      <c r="F25" s="86"/>
      <c r="G25" s="86"/>
      <c r="H25" s="86"/>
      <c r="J25" s="86" t="s">
        <v>38</v>
      </c>
      <c r="K25" s="86">
        <f>COUNTIF(员工花名册!X:X,"初中")</f>
        <v>0</v>
      </c>
      <c r="L25" s="96">
        <f>K25/K26</f>
        <v>0</v>
      </c>
      <c r="M25" s="86"/>
      <c r="N25" s="86"/>
      <c r="O25" s="86"/>
    </row>
    <row r="26" customHeight="1" spans="3:15">
      <c r="C26" s="86"/>
      <c r="D26" s="86"/>
      <c r="E26" s="96"/>
      <c r="F26" s="86"/>
      <c r="G26" s="86"/>
      <c r="H26" s="86"/>
      <c r="J26" s="86" t="s">
        <v>10</v>
      </c>
      <c r="K26" s="86">
        <f>SUM(K18:K25)</f>
        <v>30</v>
      </c>
      <c r="L26" s="96">
        <f>SUM(L18:L25)</f>
        <v>1</v>
      </c>
      <c r="M26" s="86"/>
      <c r="N26" s="86"/>
      <c r="O26" s="86"/>
    </row>
    <row r="27" customHeight="1" spans="3:15">
      <c r="C27" s="85" t="s">
        <v>39</v>
      </c>
      <c r="D27" s="85"/>
      <c r="E27" s="85"/>
      <c r="F27" s="85"/>
      <c r="G27" s="85"/>
      <c r="H27" s="85"/>
      <c r="J27" s="85" t="s">
        <v>40</v>
      </c>
      <c r="K27" s="85"/>
      <c r="L27" s="85"/>
      <c r="M27" s="85"/>
      <c r="N27" s="85"/>
      <c r="O27" s="85"/>
    </row>
    <row r="28" customHeight="1" spans="3:15">
      <c r="C28" s="84" t="s">
        <v>41</v>
      </c>
      <c r="D28" s="84" t="s">
        <v>3</v>
      </c>
      <c r="E28" s="95" t="s">
        <v>4</v>
      </c>
      <c r="F28" s="86"/>
      <c r="G28" s="86"/>
      <c r="H28" s="86"/>
      <c r="J28" s="84" t="s">
        <v>42</v>
      </c>
      <c r="K28" s="84" t="s">
        <v>3</v>
      </c>
      <c r="L28" s="95" t="s">
        <v>4</v>
      </c>
      <c r="M28" s="86"/>
      <c r="N28" s="86"/>
      <c r="O28" s="86"/>
    </row>
    <row r="29" customHeight="1" spans="3:15">
      <c r="C29" s="86" t="s">
        <v>43</v>
      </c>
      <c r="D29" s="86">
        <f ca="1">COUNTIF(员工花名册!$O:$O,"&lt;="&amp;25)</f>
        <v>8</v>
      </c>
      <c r="E29" s="96">
        <f ca="1">D29/D34</f>
        <v>0.266666666666667</v>
      </c>
      <c r="F29" s="86"/>
      <c r="G29" s="86"/>
      <c r="H29" s="86"/>
      <c r="J29" s="86" t="s">
        <v>44</v>
      </c>
      <c r="K29" s="86">
        <f>COUNTIF(员工花名册!E:E,"总经办")</f>
        <v>3</v>
      </c>
      <c r="L29" s="96">
        <f>K29/K34</f>
        <v>0.1</v>
      </c>
      <c r="M29" s="86"/>
      <c r="N29" s="86"/>
      <c r="O29" s="86"/>
    </row>
    <row r="30" customHeight="1" spans="3:15">
      <c r="C30" s="86" t="s">
        <v>45</v>
      </c>
      <c r="D30" s="86">
        <f ca="1">COUNTIFS(员工花名册!$O:$O,"&gt;"&amp;25,员工花名册!$O:$O,"&lt;="&amp;30)</f>
        <v>14</v>
      </c>
      <c r="E30" s="96">
        <f ca="1">D30/D34</f>
        <v>0.466666666666667</v>
      </c>
      <c r="F30" s="86"/>
      <c r="G30" s="86"/>
      <c r="H30" s="86"/>
      <c r="J30" s="86" t="s">
        <v>46</v>
      </c>
      <c r="K30" s="86">
        <f>COUNTIF(员工花名册!E:E,"综管部")</f>
        <v>4</v>
      </c>
      <c r="L30" s="96">
        <f>K30/K34</f>
        <v>0.3333</v>
      </c>
      <c r="M30" s="86"/>
      <c r="N30" s="86"/>
      <c r="O30" s="86"/>
    </row>
    <row r="31" customHeight="1" spans="3:15">
      <c r="C31" s="86" t="s">
        <v>47</v>
      </c>
      <c r="D31" s="86">
        <f ca="1">COUNTIFS(员工花名册!$O:$O,"&gt;"&amp;30,员工花名册!$O:$O,"&lt;="&amp;35)</f>
        <v>2</v>
      </c>
      <c r="E31" s="96">
        <f ca="1">D31/D34</f>
        <v>0.0666666666666667</v>
      </c>
      <c r="F31" s="86"/>
      <c r="G31" s="86"/>
      <c r="H31" s="86"/>
      <c r="J31" s="86" t="s">
        <v>48</v>
      </c>
      <c r="K31" s="86">
        <f>COUNTIF(员工花名册!E:E,"财务部")</f>
        <v>3</v>
      </c>
      <c r="L31" s="96">
        <f>K31/K34</f>
        <v>0.1</v>
      </c>
      <c r="M31" s="86"/>
      <c r="N31" s="86"/>
      <c r="O31" s="86"/>
    </row>
    <row r="32" customHeight="1" spans="3:15">
      <c r="C32" s="86" t="s">
        <v>49</v>
      </c>
      <c r="D32" s="86">
        <f ca="1">COUNTIFS(员工花名册!$O:$O,"&gt;"&amp;35,员工花名册!$O:$O,"&lt;="&amp;40)</f>
        <v>2</v>
      </c>
      <c r="E32" s="96">
        <f ca="1">D32/D34</f>
        <v>0.0666666666666667</v>
      </c>
      <c r="F32" s="86"/>
      <c r="G32" s="86"/>
      <c r="H32" s="86"/>
      <c r="J32" s="86" t="s">
        <v>50</v>
      </c>
      <c r="K32" s="86">
        <f>COUNTIF(员工花名册!E:E,"研发部")</f>
        <v>15</v>
      </c>
      <c r="L32" s="96">
        <f>K32/K34</f>
        <v>0.5</v>
      </c>
      <c r="M32" s="86"/>
      <c r="N32" s="86"/>
      <c r="O32" s="86"/>
    </row>
    <row r="33" customHeight="1" spans="3:15">
      <c r="C33" s="86" t="s">
        <v>51</v>
      </c>
      <c r="D33" s="86">
        <f ca="1">COUNTIFS(员工花名册!$O:$O,"&gt;"&amp;40)</f>
        <v>4</v>
      </c>
      <c r="E33" s="96">
        <f ca="1">D33/D34</f>
        <v>0.3333</v>
      </c>
      <c r="F33" s="86"/>
      <c r="G33" s="86"/>
      <c r="H33" s="86"/>
      <c r="J33" s="86" t="s">
        <v>52</v>
      </c>
      <c r="K33" s="86">
        <f>COUNTIF(员工花名册!E:E,"营销部")</f>
        <v>5</v>
      </c>
      <c r="L33" s="96">
        <f>K33/K34</f>
        <v>0.6667</v>
      </c>
      <c r="M33" s="86"/>
      <c r="N33" s="86"/>
      <c r="O33" s="86"/>
    </row>
    <row r="34" customHeight="1" spans="3:15">
      <c r="C34" s="86" t="s">
        <v>10</v>
      </c>
      <c r="D34" s="86">
        <f ca="1">SUM(D29:D33)</f>
        <v>30</v>
      </c>
      <c r="E34" s="96">
        <f ca="1">SUM(E29:E33)</f>
        <v>1</v>
      </c>
      <c r="F34" s="86"/>
      <c r="G34" s="86"/>
      <c r="H34" s="86"/>
      <c r="J34" s="86" t="s">
        <v>10</v>
      </c>
      <c r="K34" s="86">
        <f>SUM(K29:K33)</f>
        <v>30</v>
      </c>
      <c r="L34" s="96">
        <f>SUM(L29:L33)</f>
        <v>1</v>
      </c>
      <c r="M34" s="86"/>
      <c r="N34" s="86"/>
      <c r="O34" s="86"/>
    </row>
  </sheetData>
  <mergeCells count="19">
    <mergeCell ref="J2:O2"/>
    <mergeCell ref="C4:E4"/>
    <mergeCell ref="F4:H4"/>
    <mergeCell ref="C5:E5"/>
    <mergeCell ref="F5:H5"/>
    <mergeCell ref="C6:E6"/>
    <mergeCell ref="F6:H6"/>
    <mergeCell ref="C7:E7"/>
    <mergeCell ref="F7:H7"/>
    <mergeCell ref="C8:E8"/>
    <mergeCell ref="F8:H8"/>
    <mergeCell ref="C9:H9"/>
    <mergeCell ref="J9:O9"/>
    <mergeCell ref="C16:H16"/>
    <mergeCell ref="J16:O16"/>
    <mergeCell ref="C27:H27"/>
    <mergeCell ref="J27:O27"/>
    <mergeCell ref="C2:E3"/>
    <mergeCell ref="F2:H3"/>
  </mergeCells>
  <pageMargins left="0.0777777777777778" right="0.0388888888888889" top="0.1556" bottom="0.0777777777777778" header="0.0777777777777778" footer="0.0777777777777778"/>
  <pageSetup paperSize="9" scale="6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S41"/>
  <sheetViews>
    <sheetView zoomScale="102" zoomScaleNormal="102" topLeftCell="H1" workbookViewId="0">
      <selection activeCell="AN17" sqref="AN17"/>
    </sheetView>
  </sheetViews>
  <sheetFormatPr defaultColWidth="9.714" defaultRowHeight="17.6"/>
  <cols>
    <col min="1" max="3" width="8.64285714285714" style="56" customWidth="1"/>
    <col min="4" max="4" width="10.6428571428571" style="56" customWidth="1"/>
    <col min="5" max="6" width="8.64285714285714" style="56" customWidth="1"/>
    <col min="7" max="7" width="9.42857142857143" style="56"/>
    <col min="8" max="8" width="9.714" style="56" customWidth="1"/>
    <col min="9" max="9" width="8.64285714285714" style="56" customWidth="1"/>
    <col min="10" max="10" width="10.6428571428571" style="57" customWidth="1"/>
    <col min="11" max="11" width="15.4285714285714" style="57" customWidth="1"/>
    <col min="12" max="12" width="10.6428571428571" style="58" customWidth="1"/>
    <col min="13" max="13" width="15.5357142857143" style="56" customWidth="1"/>
    <col min="14" max="15" width="10.6428571428571" style="56" customWidth="1"/>
    <col min="16" max="17" width="8.64285714285714" style="56" customWidth="1"/>
    <col min="18" max="19" width="26.9285714285714" style="56" customWidth="1"/>
    <col min="20" max="22" width="8.64285714285714" style="56" customWidth="1"/>
    <col min="23" max="23" width="14.7232142857143" style="56" customWidth="1"/>
    <col min="24" max="24" width="8.64285714285714" style="56" customWidth="1"/>
    <col min="25" max="25" width="13.27" style="56" customWidth="1"/>
    <col min="26" max="26" width="18.7857142857143" style="56" customWidth="1"/>
    <col min="27" max="27" width="10.6428571428571" style="56" customWidth="1"/>
    <col min="28" max="28" width="11.90" style="56" customWidth="1"/>
    <col min="29" max="29" width="10.07" style="56" customWidth="1"/>
    <col min="30" max="31" width="11.6071428571429" style="56" customWidth="1"/>
    <col min="32" max="32" width="10.6428571428571" style="56" customWidth="1"/>
    <col min="33" max="33" width="9.714" style="57" customWidth="1"/>
    <col min="34" max="35" width="9.714" style="56" customWidth="1"/>
    <col min="36" max="36" width="9.42857142857143" style="56"/>
    <col min="37" max="37" width="9.714" style="57"/>
    <col min="38" max="38" width="9.64285714285714" style="56" customWidth="1"/>
    <col min="39" max="39" width="9.714" style="56"/>
    <col min="40" max="40" width="9.714" style="57"/>
    <col min="41" max="41" width="9.714" style="56"/>
    <col min="42" max="42" width="9.28571428571429" style="56"/>
    <col min="43" max="45" width="35.5803571428571" style="59" customWidth="1"/>
    <col min="46" max="16384" width="9.714" style="56"/>
  </cols>
  <sheetData>
    <row r="1" s="53" customFormat="1" ht="20" customHeight="1" spans="1:45">
      <c r="A1" s="60" t="s">
        <v>53</v>
      </c>
      <c r="B1" s="60" t="s">
        <v>54</v>
      </c>
      <c r="C1" s="60" t="s">
        <v>55</v>
      </c>
      <c r="D1" s="60" t="s">
        <v>2</v>
      </c>
      <c r="E1" s="60" t="s">
        <v>56</v>
      </c>
      <c r="F1" s="60" t="s">
        <v>57</v>
      </c>
      <c r="G1" s="60" t="s">
        <v>58</v>
      </c>
      <c r="H1" s="60" t="s">
        <v>59</v>
      </c>
      <c r="I1" s="60" t="s">
        <v>60</v>
      </c>
      <c r="J1" s="67" t="s">
        <v>61</v>
      </c>
      <c r="K1" s="67" t="s">
        <v>62</v>
      </c>
      <c r="L1" s="68" t="s">
        <v>63</v>
      </c>
      <c r="M1" s="60" t="s">
        <v>64</v>
      </c>
      <c r="N1" s="60" t="s">
        <v>65</v>
      </c>
      <c r="O1" s="60" t="s">
        <v>66</v>
      </c>
      <c r="P1" s="60" t="s">
        <v>16</v>
      </c>
      <c r="Q1" s="60" t="s">
        <v>67</v>
      </c>
      <c r="R1" s="60" t="s">
        <v>68</v>
      </c>
      <c r="S1" s="60" t="s">
        <v>69</v>
      </c>
      <c r="T1" s="60" t="s">
        <v>70</v>
      </c>
      <c r="U1" s="60" t="s">
        <v>15</v>
      </c>
      <c r="V1" s="60" t="s">
        <v>71</v>
      </c>
      <c r="W1" s="60" t="s">
        <v>72</v>
      </c>
      <c r="X1" s="60" t="s">
        <v>25</v>
      </c>
      <c r="Y1" s="60" t="s">
        <v>73</v>
      </c>
      <c r="Z1" s="60" t="s">
        <v>74</v>
      </c>
      <c r="AA1" s="60" t="s">
        <v>75</v>
      </c>
      <c r="AB1" s="60" t="s">
        <v>76</v>
      </c>
      <c r="AC1" s="60" t="s">
        <v>77</v>
      </c>
      <c r="AD1" s="60" t="s">
        <v>78</v>
      </c>
      <c r="AE1" s="60" t="s">
        <v>79</v>
      </c>
      <c r="AF1" s="60" t="s">
        <v>80</v>
      </c>
      <c r="AG1" s="67" t="s">
        <v>81</v>
      </c>
      <c r="AH1" s="60" t="s">
        <v>82</v>
      </c>
      <c r="AI1" s="60" t="s">
        <v>83</v>
      </c>
      <c r="AJ1" s="60" t="s">
        <v>84</v>
      </c>
      <c r="AK1" s="67" t="s">
        <v>85</v>
      </c>
      <c r="AL1" s="60" t="s">
        <v>86</v>
      </c>
      <c r="AM1" s="60" t="s">
        <v>84</v>
      </c>
      <c r="AN1" s="67" t="s">
        <v>87</v>
      </c>
      <c r="AO1" s="60" t="s">
        <v>88</v>
      </c>
      <c r="AP1" s="60" t="s">
        <v>89</v>
      </c>
      <c r="AQ1" s="60" t="s">
        <v>90</v>
      </c>
      <c r="AR1" s="60" t="s">
        <v>91</v>
      </c>
      <c r="AS1" s="60" t="s">
        <v>92</v>
      </c>
    </row>
    <row r="2" s="54" customFormat="1" ht="13" customHeight="1" spans="1:45">
      <c r="A2" s="61" t="s">
        <v>93</v>
      </c>
      <c r="B2" s="61" t="s">
        <v>93</v>
      </c>
      <c r="C2" s="61" t="s">
        <v>93</v>
      </c>
      <c r="D2" s="62" t="s">
        <v>94</v>
      </c>
      <c r="E2" s="61" t="s">
        <v>93</v>
      </c>
      <c r="F2" s="61" t="s">
        <v>93</v>
      </c>
      <c r="G2" s="61" t="s">
        <v>93</v>
      </c>
      <c r="H2" s="61" t="s">
        <v>93</v>
      </c>
      <c r="I2" s="61" t="s">
        <v>93</v>
      </c>
      <c r="J2" s="62" t="s">
        <v>94</v>
      </c>
      <c r="K2" s="62" t="s">
        <v>94</v>
      </c>
      <c r="L2" s="62" t="s">
        <v>94</v>
      </c>
      <c r="M2" s="61" t="s">
        <v>93</v>
      </c>
      <c r="N2" s="62" t="s">
        <v>94</v>
      </c>
      <c r="O2" s="62" t="s">
        <v>94</v>
      </c>
      <c r="P2" s="61" t="s">
        <v>93</v>
      </c>
      <c r="Q2" s="61" t="s">
        <v>93</v>
      </c>
      <c r="R2" s="61" t="s">
        <v>93</v>
      </c>
      <c r="S2" s="61" t="s">
        <v>93</v>
      </c>
      <c r="T2" s="61" t="s">
        <v>93</v>
      </c>
      <c r="U2" s="61" t="s">
        <v>93</v>
      </c>
      <c r="V2" s="61" t="s">
        <v>93</v>
      </c>
      <c r="W2" s="61" t="s">
        <v>93</v>
      </c>
      <c r="X2" s="61" t="s">
        <v>93</v>
      </c>
      <c r="Y2" s="61" t="s">
        <v>93</v>
      </c>
      <c r="Z2" s="61" t="s">
        <v>93</v>
      </c>
      <c r="AA2" s="61" t="s">
        <v>93</v>
      </c>
      <c r="AB2" s="61" t="s">
        <v>93</v>
      </c>
      <c r="AC2" s="61" t="s">
        <v>93</v>
      </c>
      <c r="AD2" s="61" t="s">
        <v>93</v>
      </c>
      <c r="AE2" s="61" t="s">
        <v>93</v>
      </c>
      <c r="AF2" s="62" t="s">
        <v>94</v>
      </c>
      <c r="AG2" s="76" t="s">
        <v>93</v>
      </c>
      <c r="AH2" s="61" t="s">
        <v>93</v>
      </c>
      <c r="AI2" s="61" t="s">
        <v>93</v>
      </c>
      <c r="AJ2" s="61" t="s">
        <v>93</v>
      </c>
      <c r="AK2" s="76" t="s">
        <v>93</v>
      </c>
      <c r="AL2" s="61" t="s">
        <v>93</v>
      </c>
      <c r="AM2" s="61" t="s">
        <v>93</v>
      </c>
      <c r="AN2" s="76" t="s">
        <v>93</v>
      </c>
      <c r="AO2" s="61" t="s">
        <v>93</v>
      </c>
      <c r="AP2" s="61" t="s">
        <v>93</v>
      </c>
      <c r="AQ2" s="61" t="s">
        <v>93</v>
      </c>
      <c r="AR2" s="61" t="s">
        <v>93</v>
      </c>
      <c r="AS2" s="61" t="s">
        <v>93</v>
      </c>
    </row>
    <row r="3" s="55" customFormat="1" ht="13" customHeight="1" spans="1:45">
      <c r="A3" s="63">
        <v>1</v>
      </c>
      <c r="B3" s="63" t="s">
        <v>95</v>
      </c>
      <c r="C3" s="63" t="s">
        <v>96</v>
      </c>
      <c r="D3" s="63" t="str">
        <f>IF(MOD(MID(M3,17,1),2),"男","女")</f>
        <v>男</v>
      </c>
      <c r="E3" s="63" t="s">
        <v>44</v>
      </c>
      <c r="F3" s="64" t="s">
        <v>97</v>
      </c>
      <c r="G3" s="65">
        <v>41760</v>
      </c>
      <c r="H3" s="66">
        <v>41852</v>
      </c>
      <c r="I3" s="63">
        <v>5</v>
      </c>
      <c r="J3" s="69">
        <f>EDATE(G3,I3*12)-1</f>
        <v>43585</v>
      </c>
      <c r="K3" s="70" t="str">
        <f ca="1">IF(TODAY()=J3,"已到期",IF(TODAY()&gt;J3,"已过期"&amp;TODAY()-J3&amp;"天",IF(J3-TODAY(),"还差"&amp;J3-TODAY()&amp;"天到期",)))</f>
        <v>已过期765天</v>
      </c>
      <c r="L3" s="71">
        <f ca="1">IF(G3="","",IF(AG3="",(TODAY()-G3)/365.25,(AG3-G3)/365.25))</f>
        <v>7.09103353867214</v>
      </c>
      <c r="M3" s="74" t="s">
        <v>98</v>
      </c>
      <c r="N3" s="63" t="str">
        <f>IF(LEN(M3)=15,MID(M3,9,2)&amp;"月"&amp;MID(M3,11,2)&amp;"日",MID(M3,11,2)&amp;"月"&amp;MID(M3,13,2)&amp;"日")</f>
        <v>12月16日</v>
      </c>
      <c r="O3" s="63">
        <f ca="1">YEAR(TODAY())-MID(M3,7,4)</f>
        <v>48</v>
      </c>
      <c r="P3" s="63" t="s">
        <v>18</v>
      </c>
      <c r="Q3" s="63" t="s">
        <v>99</v>
      </c>
      <c r="R3" s="63" t="s">
        <v>100</v>
      </c>
      <c r="S3" s="63" t="s">
        <v>100</v>
      </c>
      <c r="T3" s="64" t="s">
        <v>101</v>
      </c>
      <c r="U3" s="64" t="s">
        <v>17</v>
      </c>
      <c r="V3" s="64" t="s">
        <v>102</v>
      </c>
      <c r="W3" s="64" t="s">
        <v>103</v>
      </c>
      <c r="X3" s="64" t="s">
        <v>31</v>
      </c>
      <c r="Y3" s="63" t="s">
        <v>104</v>
      </c>
      <c r="Z3" s="75" t="s">
        <v>105</v>
      </c>
      <c r="AA3" s="75" t="s">
        <v>106</v>
      </c>
      <c r="AB3" s="75" t="s">
        <v>107</v>
      </c>
      <c r="AC3" s="63">
        <v>12345678910</v>
      </c>
      <c r="AD3" s="63" t="s">
        <v>108</v>
      </c>
      <c r="AE3" s="63">
        <v>12345678940</v>
      </c>
      <c r="AF3" s="63" t="str">
        <f ca="1">IF(J3="","",IF(AG3="","在职",IF(AG3&lt;TODAY(),"已离职","在职")))</f>
        <v>在职</v>
      </c>
      <c r="AG3" s="69"/>
      <c r="AH3" s="63"/>
      <c r="AI3" s="63">
        <v>1122333</v>
      </c>
      <c r="AJ3" s="66">
        <v>41774</v>
      </c>
      <c r="AK3" s="69"/>
      <c r="AL3" s="63">
        <v>112329</v>
      </c>
      <c r="AM3" s="66">
        <v>41774</v>
      </c>
      <c r="AN3" s="69"/>
      <c r="AO3" s="63" t="s">
        <v>109</v>
      </c>
      <c r="AP3" s="63">
        <v>6000000001</v>
      </c>
      <c r="AQ3" s="77"/>
      <c r="AR3" s="77"/>
      <c r="AS3" s="77"/>
    </row>
    <row r="4" s="55" customFormat="1" ht="13" customHeight="1" spans="1:45">
      <c r="A4" s="63">
        <v>2</v>
      </c>
      <c r="B4" s="63" t="s">
        <v>110</v>
      </c>
      <c r="C4" s="63" t="s">
        <v>111</v>
      </c>
      <c r="D4" s="63" t="str">
        <f t="shared" ref="D4:D32" si="0">IF(MOD(MID(M4,17,1),2),"男","女")</f>
        <v>女</v>
      </c>
      <c r="E4" s="63" t="s">
        <v>44</v>
      </c>
      <c r="F4" s="64" t="s">
        <v>112</v>
      </c>
      <c r="G4" s="65">
        <v>43557</v>
      </c>
      <c r="H4" s="66">
        <v>41852</v>
      </c>
      <c r="I4" s="63">
        <v>5</v>
      </c>
      <c r="J4" s="69">
        <f>EDATE(G4,I4*12)-1</f>
        <v>45383</v>
      </c>
      <c r="K4" s="70" t="str">
        <f ca="1">IF(TODAY()=J4,"已到期",IF(TODAY()&gt;J4,"已过期"&amp;TODAY()-J4&amp;"天",IF(J4-TODAY(),"还差"&amp;J4-TODAY()&amp;"天到期",)))</f>
        <v>还差1033天到期</v>
      </c>
      <c r="L4" s="71">
        <f ca="1" t="shared" ref="L4:L32" si="1">IF(G4="","",IF(AG4="",(TODAY()-G4)/365.25,(AG4-G4)/365.25))</f>
        <v>2.576</v>
      </c>
      <c r="M4" s="74" t="s">
        <v>113</v>
      </c>
      <c r="N4" s="63" t="str">
        <f t="shared" ref="N4:N32" si="2">IF(LEN(M4)=15,MID(M4,9,2)&amp;"月"&amp;MID(M4,11,2)&amp;"日",MID(M4,11,2)&amp;"月"&amp;MID(M4,13,2)&amp;"日")</f>
        <v>10月28日</v>
      </c>
      <c r="O4" s="63">
        <f ca="1" t="shared" ref="O4:O32" si="3">YEAR(TODAY())-MID(M4,7,4)</f>
        <v>26</v>
      </c>
      <c r="P4" s="63" t="s">
        <v>18</v>
      </c>
      <c r="Q4" s="63" t="s">
        <v>114</v>
      </c>
      <c r="R4" s="63" t="s">
        <v>115</v>
      </c>
      <c r="S4" s="63" t="s">
        <v>100</v>
      </c>
      <c r="T4" s="64" t="s">
        <v>101</v>
      </c>
      <c r="U4" s="64" t="s">
        <v>17</v>
      </c>
      <c r="V4" s="64" t="s">
        <v>116</v>
      </c>
      <c r="W4" s="64" t="s">
        <v>117</v>
      </c>
      <c r="X4" s="64" t="s">
        <v>33</v>
      </c>
      <c r="Y4" s="63" t="s">
        <v>118</v>
      </c>
      <c r="Z4" s="75" t="s">
        <v>119</v>
      </c>
      <c r="AA4" s="75" t="s">
        <v>106</v>
      </c>
      <c r="AB4" s="75" t="s">
        <v>120</v>
      </c>
      <c r="AC4" s="63">
        <v>12345678911</v>
      </c>
      <c r="AD4" s="63" t="s">
        <v>121</v>
      </c>
      <c r="AE4" s="63">
        <v>12345678941</v>
      </c>
      <c r="AF4" s="63" t="str">
        <f ca="1" t="shared" ref="AF4:AF32" si="4">IF(J4="","",IF(AG4="","在职",IF(AG4&lt;TODAY(),"已离职","在职")))</f>
        <v>在职</v>
      </c>
      <c r="AG4" s="69"/>
      <c r="AH4" s="63"/>
      <c r="AI4" s="63">
        <v>1122334</v>
      </c>
      <c r="AJ4" s="66">
        <v>43570</v>
      </c>
      <c r="AK4" s="69"/>
      <c r="AL4" s="63">
        <v>112330</v>
      </c>
      <c r="AM4" s="66">
        <v>43570</v>
      </c>
      <c r="AN4" s="69"/>
      <c r="AO4" s="63" t="s">
        <v>109</v>
      </c>
      <c r="AP4" s="63">
        <v>6000000002</v>
      </c>
      <c r="AQ4" s="77"/>
      <c r="AR4" s="77"/>
      <c r="AS4" s="77"/>
    </row>
    <row r="5" s="55" customFormat="1" ht="13" customHeight="1" spans="1:45">
      <c r="A5" s="63">
        <v>3</v>
      </c>
      <c r="B5" s="63" t="s">
        <v>122</v>
      </c>
      <c r="C5" s="63" t="s">
        <v>123</v>
      </c>
      <c r="D5" s="63" t="str">
        <f t="shared" si="0"/>
        <v>男</v>
      </c>
      <c r="E5" s="63" t="s">
        <v>44</v>
      </c>
      <c r="F5" s="64" t="s">
        <v>124</v>
      </c>
      <c r="G5" s="65">
        <v>43094</v>
      </c>
      <c r="H5" s="66">
        <v>43191</v>
      </c>
      <c r="I5" s="63">
        <v>5</v>
      </c>
      <c r="J5" s="69">
        <f t="shared" ref="J4:J32" si="5">EDATE(G5,I5*12)-1</f>
        <v>44919</v>
      </c>
      <c r="K5" s="70" t="str">
        <f ca="1">IF(TODAY()=J5,"已到期",IF(TODAY()&gt;J5,"已过期"&amp;TODAY()-J5&amp;"天",IF(J5-TODAY(),"还差"&amp;J5-TODAY()&amp;"天到期",)))</f>
        <v>还差569天到期</v>
      </c>
      <c r="L5" s="71">
        <f ca="1" t="shared" si="1"/>
        <v>3.43874058863792</v>
      </c>
      <c r="M5" s="74" t="s">
        <v>125</v>
      </c>
      <c r="N5" s="63" t="str">
        <f t="shared" si="2"/>
        <v>07月02日</v>
      </c>
      <c r="O5" s="63">
        <f ca="1" t="shared" si="3"/>
        <v>45</v>
      </c>
      <c r="P5" s="63" t="s">
        <v>18</v>
      </c>
      <c r="Q5" s="63" t="s">
        <v>126</v>
      </c>
      <c r="R5" s="63" t="s">
        <v>127</v>
      </c>
      <c r="S5" s="63" t="s">
        <v>100</v>
      </c>
      <c r="T5" s="64" t="s">
        <v>101</v>
      </c>
      <c r="U5" s="64" t="s">
        <v>17</v>
      </c>
      <c r="V5" s="64" t="s">
        <v>116</v>
      </c>
      <c r="W5" s="64" t="s">
        <v>117</v>
      </c>
      <c r="X5" s="64" t="s">
        <v>29</v>
      </c>
      <c r="Y5" s="63" t="s">
        <v>128</v>
      </c>
      <c r="Z5" s="75" t="s">
        <v>129</v>
      </c>
      <c r="AA5" s="75" t="s">
        <v>106</v>
      </c>
      <c r="AB5" s="75" t="s">
        <v>130</v>
      </c>
      <c r="AC5" s="63">
        <v>12345678912</v>
      </c>
      <c r="AD5" s="63" t="s">
        <v>131</v>
      </c>
      <c r="AE5" s="63">
        <v>12345678942</v>
      </c>
      <c r="AF5" s="63" t="str">
        <f ca="1" t="shared" si="4"/>
        <v>在职</v>
      </c>
      <c r="AG5" s="69"/>
      <c r="AH5" s="63"/>
      <c r="AI5" s="63">
        <v>1122335</v>
      </c>
      <c r="AJ5" s="66">
        <v>43115</v>
      </c>
      <c r="AK5" s="69"/>
      <c r="AL5" s="63">
        <v>112331</v>
      </c>
      <c r="AM5" s="66">
        <v>43115</v>
      </c>
      <c r="AN5" s="69"/>
      <c r="AO5" s="63" t="s">
        <v>109</v>
      </c>
      <c r="AP5" s="63">
        <v>6000000003</v>
      </c>
      <c r="AQ5" s="77"/>
      <c r="AR5" s="77"/>
      <c r="AS5" s="77" t="s">
        <v>132</v>
      </c>
    </row>
    <row r="6" s="55" customFormat="1" ht="13" customHeight="1" spans="1:45">
      <c r="A6" s="63">
        <v>4</v>
      </c>
      <c r="B6" s="63" t="s">
        <v>133</v>
      </c>
      <c r="C6" s="63" t="s">
        <v>134</v>
      </c>
      <c r="D6" s="63" t="str">
        <f t="shared" si="0"/>
        <v>男</v>
      </c>
      <c r="E6" s="63" t="s">
        <v>48</v>
      </c>
      <c r="F6" s="64" t="s">
        <v>135</v>
      </c>
      <c r="G6" s="65">
        <v>43094</v>
      </c>
      <c r="H6" s="66">
        <v>43191</v>
      </c>
      <c r="I6" s="63">
        <v>5</v>
      </c>
      <c r="J6" s="69">
        <f t="shared" si="5"/>
        <v>44919</v>
      </c>
      <c r="K6" s="70" t="str">
        <f ca="1" t="shared" ref="K6:K32" si="6">IF(TODAY()=J6,"已到期",IF(TODAY()&gt;J6,"已过期"&amp;TODAY()-J6&amp;"天",IF(J6-TODAY(),"还差"&amp;J6-TODAY()&amp;"天到期",)))</f>
        <v>还差569天到期</v>
      </c>
      <c r="L6" s="71">
        <f ca="1" t="shared" si="1"/>
        <v>3.43874058863792</v>
      </c>
      <c r="M6" s="74" t="s">
        <v>136</v>
      </c>
      <c r="N6" s="63" t="str">
        <f t="shared" si="2"/>
        <v>09月09日</v>
      </c>
      <c r="O6" s="63">
        <f ca="1" t="shared" si="3"/>
        <v>48</v>
      </c>
      <c r="P6" s="63" t="s">
        <v>18</v>
      </c>
      <c r="Q6" s="63" t="s">
        <v>137</v>
      </c>
      <c r="R6" s="63" t="s">
        <v>138</v>
      </c>
      <c r="S6" s="63" t="s">
        <v>100</v>
      </c>
      <c r="T6" s="64" t="s">
        <v>101</v>
      </c>
      <c r="U6" s="64" t="s">
        <v>17</v>
      </c>
      <c r="V6" s="64" t="s">
        <v>116</v>
      </c>
      <c r="W6" s="64" t="s">
        <v>139</v>
      </c>
      <c r="X6" s="64" t="s">
        <v>29</v>
      </c>
      <c r="Y6" s="63" t="s">
        <v>140</v>
      </c>
      <c r="Z6" s="75" t="s">
        <v>141</v>
      </c>
      <c r="AA6" s="75" t="s">
        <v>106</v>
      </c>
      <c r="AB6" s="75" t="s">
        <v>130</v>
      </c>
      <c r="AC6" s="63">
        <v>12345678913</v>
      </c>
      <c r="AD6" s="63" t="s">
        <v>142</v>
      </c>
      <c r="AE6" s="63">
        <v>12345678943</v>
      </c>
      <c r="AF6" s="63" t="str">
        <f ca="1" t="shared" si="4"/>
        <v>在职</v>
      </c>
      <c r="AG6" s="69"/>
      <c r="AH6" s="63"/>
      <c r="AI6" s="63">
        <v>1122336</v>
      </c>
      <c r="AJ6" s="66">
        <v>43115</v>
      </c>
      <c r="AK6" s="69"/>
      <c r="AL6" s="63">
        <v>112332</v>
      </c>
      <c r="AM6" s="66">
        <v>43115</v>
      </c>
      <c r="AN6" s="69"/>
      <c r="AO6" s="63" t="s">
        <v>109</v>
      </c>
      <c r="AP6" s="63">
        <v>6000000004</v>
      </c>
      <c r="AQ6" s="77"/>
      <c r="AR6" s="77"/>
      <c r="AS6" s="77"/>
    </row>
    <row r="7" s="55" customFormat="1" ht="13" customHeight="1" spans="1:45">
      <c r="A7" s="63">
        <v>5</v>
      </c>
      <c r="B7" s="63" t="s">
        <v>143</v>
      </c>
      <c r="C7" s="63" t="s">
        <v>144</v>
      </c>
      <c r="D7" s="63" t="str">
        <f t="shared" si="0"/>
        <v>男</v>
      </c>
      <c r="E7" s="63" t="s">
        <v>46</v>
      </c>
      <c r="F7" s="64" t="s">
        <v>145</v>
      </c>
      <c r="G7" s="65">
        <v>43094</v>
      </c>
      <c r="H7" s="66">
        <v>43191</v>
      </c>
      <c r="I7" s="63">
        <v>5</v>
      </c>
      <c r="J7" s="69">
        <f t="shared" si="5"/>
        <v>44919</v>
      </c>
      <c r="K7" s="70" t="str">
        <f ca="1" t="shared" si="6"/>
        <v>还差569天到期</v>
      </c>
      <c r="L7" s="71">
        <f ca="1" t="shared" si="1"/>
        <v>3.43874058863792</v>
      </c>
      <c r="M7" s="74" t="s">
        <v>146</v>
      </c>
      <c r="N7" s="63" t="str">
        <f t="shared" si="2"/>
        <v>08月01日</v>
      </c>
      <c r="O7" s="63">
        <f ca="1" t="shared" si="3"/>
        <v>44</v>
      </c>
      <c r="P7" s="63" t="s">
        <v>18</v>
      </c>
      <c r="Q7" s="63" t="s">
        <v>137</v>
      </c>
      <c r="R7" s="63" t="s">
        <v>147</v>
      </c>
      <c r="S7" s="63" t="s">
        <v>100</v>
      </c>
      <c r="T7" s="64" t="s">
        <v>101</v>
      </c>
      <c r="U7" s="64" t="s">
        <v>21</v>
      </c>
      <c r="V7" s="64" t="s">
        <v>116</v>
      </c>
      <c r="W7" s="64" t="s">
        <v>148</v>
      </c>
      <c r="X7" s="64" t="s">
        <v>31</v>
      </c>
      <c r="Y7" s="63" t="s">
        <v>149</v>
      </c>
      <c r="Z7" s="75" t="s">
        <v>150</v>
      </c>
      <c r="AA7" s="75" t="s">
        <v>106</v>
      </c>
      <c r="AB7" s="75" t="s">
        <v>130</v>
      </c>
      <c r="AC7" s="63">
        <v>12345678914</v>
      </c>
      <c r="AD7" s="63" t="s">
        <v>151</v>
      </c>
      <c r="AE7" s="63">
        <v>12345678944</v>
      </c>
      <c r="AF7" s="63" t="str">
        <f ca="1" t="shared" si="4"/>
        <v>在职</v>
      </c>
      <c r="AG7" s="69"/>
      <c r="AH7" s="63"/>
      <c r="AI7" s="63">
        <v>1122337</v>
      </c>
      <c r="AJ7" s="66">
        <v>43115</v>
      </c>
      <c r="AK7" s="69"/>
      <c r="AL7" s="63">
        <v>112333</v>
      </c>
      <c r="AM7" s="66">
        <v>43115</v>
      </c>
      <c r="AN7" s="69"/>
      <c r="AO7" s="63" t="s">
        <v>109</v>
      </c>
      <c r="AP7" s="63">
        <v>6000000005</v>
      </c>
      <c r="AQ7" s="77" t="s">
        <v>152</v>
      </c>
      <c r="AR7" s="77"/>
      <c r="AS7" s="77"/>
    </row>
    <row r="8" s="55" customFormat="1" ht="13" customHeight="1" spans="1:45">
      <c r="A8" s="63">
        <v>6</v>
      </c>
      <c r="B8" s="63" t="s">
        <v>153</v>
      </c>
      <c r="C8" s="63" t="s">
        <v>154</v>
      </c>
      <c r="D8" s="63" t="str">
        <f t="shared" si="0"/>
        <v>男</v>
      </c>
      <c r="E8" s="63" t="s">
        <v>52</v>
      </c>
      <c r="F8" s="64" t="s">
        <v>155</v>
      </c>
      <c r="G8" s="65">
        <v>43094</v>
      </c>
      <c r="H8" s="66">
        <v>43191</v>
      </c>
      <c r="I8" s="63">
        <v>5</v>
      </c>
      <c r="J8" s="69">
        <f t="shared" si="5"/>
        <v>44919</v>
      </c>
      <c r="K8" s="70" t="str">
        <f ca="1" t="shared" si="6"/>
        <v>还差569天到期</v>
      </c>
      <c r="L8" s="71">
        <f ca="1" t="shared" si="1"/>
        <v>3.43874058863792</v>
      </c>
      <c r="M8" s="74" t="s">
        <v>156</v>
      </c>
      <c r="N8" s="63" t="str">
        <f t="shared" si="2"/>
        <v>08月10日</v>
      </c>
      <c r="O8" s="63">
        <f ca="1" t="shared" si="3"/>
        <v>37</v>
      </c>
      <c r="P8" s="63" t="s">
        <v>18</v>
      </c>
      <c r="Q8" s="63" t="s">
        <v>114</v>
      </c>
      <c r="R8" s="63" t="s">
        <v>157</v>
      </c>
      <c r="S8" s="63" t="s">
        <v>158</v>
      </c>
      <c r="T8" s="64" t="s">
        <v>101</v>
      </c>
      <c r="U8" s="64" t="s">
        <v>19</v>
      </c>
      <c r="V8" s="64" t="s">
        <v>159</v>
      </c>
      <c r="W8" s="64"/>
      <c r="X8" s="64" t="s">
        <v>33</v>
      </c>
      <c r="Y8" s="63" t="s">
        <v>160</v>
      </c>
      <c r="Z8" s="75" t="s">
        <v>161</v>
      </c>
      <c r="AA8" s="75" t="s">
        <v>106</v>
      </c>
      <c r="AB8" s="75" t="s">
        <v>107</v>
      </c>
      <c r="AC8" s="63">
        <v>12345678915</v>
      </c>
      <c r="AD8" s="63" t="s">
        <v>162</v>
      </c>
      <c r="AE8" s="63">
        <v>12345678945</v>
      </c>
      <c r="AF8" s="63" t="str">
        <f ca="1" t="shared" si="4"/>
        <v>在职</v>
      </c>
      <c r="AG8" s="69"/>
      <c r="AH8" s="63"/>
      <c r="AI8" s="63">
        <v>1122338</v>
      </c>
      <c r="AJ8" s="66">
        <v>43115</v>
      </c>
      <c r="AK8" s="69"/>
      <c r="AL8" s="63">
        <v>112334</v>
      </c>
      <c r="AM8" s="66">
        <v>43115</v>
      </c>
      <c r="AN8" s="69"/>
      <c r="AO8" s="63" t="s">
        <v>109</v>
      </c>
      <c r="AP8" s="63">
        <v>6000000006</v>
      </c>
      <c r="AQ8" s="77"/>
      <c r="AR8" s="77"/>
      <c r="AS8" s="77"/>
    </row>
    <row r="9" s="55" customFormat="1" ht="13" customHeight="1" spans="1:45">
      <c r="A9" s="63">
        <v>7</v>
      </c>
      <c r="B9" s="63" t="s">
        <v>163</v>
      </c>
      <c r="C9" s="63" t="s">
        <v>164</v>
      </c>
      <c r="D9" s="63" t="str">
        <f t="shared" si="0"/>
        <v>女</v>
      </c>
      <c r="E9" s="63" t="s">
        <v>46</v>
      </c>
      <c r="F9" s="64" t="s">
        <v>165</v>
      </c>
      <c r="G9" s="65">
        <v>43601</v>
      </c>
      <c r="H9" s="66">
        <v>43692</v>
      </c>
      <c r="I9" s="63">
        <v>3</v>
      </c>
      <c r="J9" s="69">
        <f t="shared" si="5"/>
        <v>44696</v>
      </c>
      <c r="K9" s="70" t="str">
        <f ca="1" t="shared" si="6"/>
        <v>还差346天到期</v>
      </c>
      <c r="L9" s="71">
        <f ca="1" t="shared" si="1"/>
        <v>2.05065023956194</v>
      </c>
      <c r="M9" s="74" t="s">
        <v>166</v>
      </c>
      <c r="N9" s="63" t="str">
        <f t="shared" si="2"/>
        <v>03月26日</v>
      </c>
      <c r="O9" s="63">
        <f ca="1" t="shared" si="3"/>
        <v>29</v>
      </c>
      <c r="P9" s="63" t="s">
        <v>20</v>
      </c>
      <c r="Q9" s="63" t="s">
        <v>99</v>
      </c>
      <c r="R9" s="63" t="s">
        <v>167</v>
      </c>
      <c r="S9" s="63" t="s">
        <v>158</v>
      </c>
      <c r="T9" s="64" t="s">
        <v>101</v>
      </c>
      <c r="U9" s="64" t="s">
        <v>21</v>
      </c>
      <c r="V9" s="64" t="s">
        <v>159</v>
      </c>
      <c r="W9" s="64"/>
      <c r="X9" s="64" t="s">
        <v>33</v>
      </c>
      <c r="Y9" s="63" t="s">
        <v>168</v>
      </c>
      <c r="Z9" s="75" t="s">
        <v>119</v>
      </c>
      <c r="AA9" s="75" t="s">
        <v>106</v>
      </c>
      <c r="AB9" s="75" t="s">
        <v>130</v>
      </c>
      <c r="AC9" s="63">
        <v>12345678916</v>
      </c>
      <c r="AD9" s="63" t="s">
        <v>169</v>
      </c>
      <c r="AE9" s="63">
        <v>12345678946</v>
      </c>
      <c r="AF9" s="63" t="str">
        <f ca="1" t="shared" si="4"/>
        <v>在职</v>
      </c>
      <c r="AG9" s="69"/>
      <c r="AH9" s="63"/>
      <c r="AI9" s="63">
        <v>1122339</v>
      </c>
      <c r="AJ9" s="66">
        <v>43615</v>
      </c>
      <c r="AK9" s="69"/>
      <c r="AL9" s="63">
        <v>112335</v>
      </c>
      <c r="AM9" s="66">
        <v>43615</v>
      </c>
      <c r="AN9" s="69"/>
      <c r="AO9" s="63" t="s">
        <v>109</v>
      </c>
      <c r="AP9" s="63">
        <v>6000000007</v>
      </c>
      <c r="AQ9" s="77"/>
      <c r="AR9" s="77"/>
      <c r="AS9" s="77"/>
    </row>
    <row r="10" s="55" customFormat="1" ht="13" customHeight="1" spans="1:45">
      <c r="A10" s="63">
        <v>8</v>
      </c>
      <c r="B10" s="63" t="s">
        <v>170</v>
      </c>
      <c r="C10" s="63" t="s">
        <v>171</v>
      </c>
      <c r="D10" s="63" t="str">
        <f t="shared" si="0"/>
        <v>女</v>
      </c>
      <c r="E10" s="63" t="s">
        <v>46</v>
      </c>
      <c r="F10" s="64" t="s">
        <v>172</v>
      </c>
      <c r="G10" s="65">
        <v>44011</v>
      </c>
      <c r="H10" s="66">
        <v>44105</v>
      </c>
      <c r="I10" s="63">
        <v>3</v>
      </c>
      <c r="J10" s="69">
        <f t="shared" si="5"/>
        <v>45105</v>
      </c>
      <c r="K10" s="70" t="str">
        <f ca="1" t="shared" si="6"/>
        <v>还差755天到期</v>
      </c>
      <c r="L10" s="71">
        <f ca="1" t="shared" si="1"/>
        <v>0.9282</v>
      </c>
      <c r="M10" s="74" t="s">
        <v>173</v>
      </c>
      <c r="N10" s="63" t="str">
        <f t="shared" si="2"/>
        <v>07月21日</v>
      </c>
      <c r="O10" s="63">
        <f ca="1" t="shared" si="3"/>
        <v>22</v>
      </c>
      <c r="P10" s="63" t="s">
        <v>20</v>
      </c>
      <c r="Q10" s="63" t="s">
        <v>99</v>
      </c>
      <c r="R10" s="63" t="s">
        <v>174</v>
      </c>
      <c r="S10" s="63" t="s">
        <v>158</v>
      </c>
      <c r="T10" s="64" t="s">
        <v>101</v>
      </c>
      <c r="U10" s="64" t="s">
        <v>21</v>
      </c>
      <c r="V10" s="64" t="s">
        <v>159</v>
      </c>
      <c r="W10" s="64" t="s">
        <v>175</v>
      </c>
      <c r="X10" s="64" t="s">
        <v>35</v>
      </c>
      <c r="Y10" s="63" t="s">
        <v>176</v>
      </c>
      <c r="Z10" s="75" t="s">
        <v>177</v>
      </c>
      <c r="AA10" s="75" t="s">
        <v>106</v>
      </c>
      <c r="AB10" s="75" t="s">
        <v>107</v>
      </c>
      <c r="AC10" s="63">
        <v>12345678917</v>
      </c>
      <c r="AD10" s="63" t="s">
        <v>178</v>
      </c>
      <c r="AE10" s="63">
        <v>12345678947</v>
      </c>
      <c r="AF10" s="63" t="str">
        <f ca="1" t="shared" si="4"/>
        <v>在职</v>
      </c>
      <c r="AG10" s="69"/>
      <c r="AH10" s="63"/>
      <c r="AI10" s="63">
        <v>1122340</v>
      </c>
      <c r="AJ10" s="66">
        <v>44027</v>
      </c>
      <c r="AK10" s="69"/>
      <c r="AL10" s="63">
        <v>112336</v>
      </c>
      <c r="AM10" s="66">
        <v>44027</v>
      </c>
      <c r="AN10" s="69"/>
      <c r="AO10" s="63" t="s">
        <v>109</v>
      </c>
      <c r="AP10" s="63">
        <v>6000000008</v>
      </c>
      <c r="AQ10" s="77"/>
      <c r="AR10" s="77"/>
      <c r="AS10" s="77"/>
    </row>
    <row r="11" s="55" customFormat="1" ht="13" customHeight="1" spans="1:45">
      <c r="A11" s="63">
        <v>9</v>
      </c>
      <c r="B11" s="63" t="s">
        <v>179</v>
      </c>
      <c r="C11" s="63" t="s">
        <v>180</v>
      </c>
      <c r="D11" s="63" t="str">
        <f t="shared" si="0"/>
        <v>女</v>
      </c>
      <c r="E11" s="63" t="s">
        <v>46</v>
      </c>
      <c r="F11" s="64" t="s">
        <v>181</v>
      </c>
      <c r="G11" s="65">
        <v>44013</v>
      </c>
      <c r="H11" s="66">
        <v>44105</v>
      </c>
      <c r="I11" s="63">
        <v>3</v>
      </c>
      <c r="J11" s="69">
        <f t="shared" si="5"/>
        <v>45107</v>
      </c>
      <c r="K11" s="70" t="str">
        <f ca="1" t="shared" si="6"/>
        <v>还差757天到期</v>
      </c>
      <c r="L11" s="71">
        <f ca="1" t="shared" si="1"/>
        <v>0.922655715263518</v>
      </c>
      <c r="M11" s="74" t="s">
        <v>182</v>
      </c>
      <c r="N11" s="63" t="str">
        <f t="shared" si="2"/>
        <v>08月12日</v>
      </c>
      <c r="O11" s="63">
        <f ca="1" t="shared" si="3"/>
        <v>24</v>
      </c>
      <c r="P11" s="63" t="s">
        <v>20</v>
      </c>
      <c r="Q11" s="63" t="s">
        <v>183</v>
      </c>
      <c r="R11" s="63" t="s">
        <v>184</v>
      </c>
      <c r="S11" s="63" t="s">
        <v>158</v>
      </c>
      <c r="T11" s="64" t="s">
        <v>101</v>
      </c>
      <c r="U11" s="64" t="s">
        <v>21</v>
      </c>
      <c r="V11" s="64" t="s">
        <v>159</v>
      </c>
      <c r="W11" s="64"/>
      <c r="X11" s="64" t="s">
        <v>35</v>
      </c>
      <c r="Y11" s="63" t="s">
        <v>185</v>
      </c>
      <c r="Z11" s="75" t="s">
        <v>186</v>
      </c>
      <c r="AA11" s="75" t="s">
        <v>106</v>
      </c>
      <c r="AB11" s="75" t="s">
        <v>107</v>
      </c>
      <c r="AC11" s="63">
        <v>12345678918</v>
      </c>
      <c r="AD11" s="63" t="s">
        <v>187</v>
      </c>
      <c r="AE11" s="63">
        <v>12345678948</v>
      </c>
      <c r="AF11" s="63" t="str">
        <f ca="1" t="shared" si="4"/>
        <v>在职</v>
      </c>
      <c r="AG11" s="69"/>
      <c r="AH11" s="63"/>
      <c r="AI11" s="63">
        <v>1122341</v>
      </c>
      <c r="AJ11" s="66">
        <v>44027</v>
      </c>
      <c r="AK11" s="69"/>
      <c r="AL11" s="63">
        <v>112337</v>
      </c>
      <c r="AM11" s="66">
        <v>44027</v>
      </c>
      <c r="AN11" s="69"/>
      <c r="AO11" s="63" t="s">
        <v>109</v>
      </c>
      <c r="AP11" s="63">
        <v>6000000009</v>
      </c>
      <c r="AQ11" s="77" t="s">
        <v>188</v>
      </c>
      <c r="AR11" s="77"/>
      <c r="AS11" s="77"/>
    </row>
    <row r="12" s="55" customFormat="1" ht="13" customHeight="1" spans="1:45">
      <c r="A12" s="63">
        <v>10</v>
      </c>
      <c r="B12" s="63" t="s">
        <v>189</v>
      </c>
      <c r="C12" s="63" t="s">
        <v>190</v>
      </c>
      <c r="D12" s="63" t="str">
        <f t="shared" si="0"/>
        <v>男</v>
      </c>
      <c r="E12" s="63" t="s">
        <v>48</v>
      </c>
      <c r="F12" s="64" t="s">
        <v>191</v>
      </c>
      <c r="G12" s="65">
        <v>43317</v>
      </c>
      <c r="H12" s="66">
        <v>43405</v>
      </c>
      <c r="I12" s="63">
        <v>3</v>
      </c>
      <c r="J12" s="69">
        <f t="shared" si="5"/>
        <v>44412</v>
      </c>
      <c r="K12" s="70" t="str">
        <f ca="1" t="shared" si="6"/>
        <v>还差62天到期</v>
      </c>
      <c r="L12" s="71">
        <f ca="1" t="shared" si="1"/>
        <v>2.828</v>
      </c>
      <c r="M12" s="74" t="s">
        <v>192</v>
      </c>
      <c r="N12" s="63" t="str">
        <f t="shared" si="2"/>
        <v>10月26日</v>
      </c>
      <c r="O12" s="63">
        <f ca="1" t="shared" si="3"/>
        <v>37</v>
      </c>
      <c r="P12" s="63" t="s">
        <v>18</v>
      </c>
      <c r="Q12" s="63" t="s">
        <v>193</v>
      </c>
      <c r="R12" s="63" t="s">
        <v>194</v>
      </c>
      <c r="S12" s="63" t="s">
        <v>158</v>
      </c>
      <c r="T12" s="64" t="s">
        <v>101</v>
      </c>
      <c r="U12" s="64" t="s">
        <v>21</v>
      </c>
      <c r="V12" s="64" t="s">
        <v>116</v>
      </c>
      <c r="W12" s="64" t="s">
        <v>195</v>
      </c>
      <c r="X12" s="64" t="s">
        <v>33</v>
      </c>
      <c r="Y12" s="63" t="s">
        <v>196</v>
      </c>
      <c r="Z12" s="75" t="s">
        <v>197</v>
      </c>
      <c r="AA12" s="75" t="s">
        <v>106</v>
      </c>
      <c r="AB12" s="75" t="s">
        <v>107</v>
      </c>
      <c r="AC12" s="63">
        <v>12345678919</v>
      </c>
      <c r="AD12" s="63" t="s">
        <v>198</v>
      </c>
      <c r="AE12" s="63">
        <v>12345678949</v>
      </c>
      <c r="AF12" s="63" t="str">
        <f ca="1" t="shared" si="4"/>
        <v>在职</v>
      </c>
      <c r="AG12" s="69"/>
      <c r="AH12" s="63"/>
      <c r="AI12" s="63">
        <v>1122342</v>
      </c>
      <c r="AJ12" s="66">
        <v>43327</v>
      </c>
      <c r="AK12" s="69"/>
      <c r="AL12" s="63">
        <v>112338</v>
      </c>
      <c r="AM12" s="66">
        <v>43327</v>
      </c>
      <c r="AN12" s="69"/>
      <c r="AO12" s="63" t="s">
        <v>109</v>
      </c>
      <c r="AP12" s="63">
        <v>6000000010</v>
      </c>
      <c r="AQ12" s="77"/>
      <c r="AR12" s="77"/>
      <c r="AS12" s="77"/>
    </row>
    <row r="13" s="55" customFormat="1" ht="13" customHeight="1" spans="1:45">
      <c r="A13" s="63">
        <v>11</v>
      </c>
      <c r="B13" s="63" t="s">
        <v>199</v>
      </c>
      <c r="C13" s="63" t="s">
        <v>200</v>
      </c>
      <c r="D13" s="63" t="str">
        <f t="shared" si="0"/>
        <v>女</v>
      </c>
      <c r="E13" s="63" t="s">
        <v>48</v>
      </c>
      <c r="F13" s="64" t="s">
        <v>201</v>
      </c>
      <c r="G13" s="65">
        <v>43255</v>
      </c>
      <c r="H13" s="66">
        <v>43344</v>
      </c>
      <c r="I13" s="63">
        <v>3</v>
      </c>
      <c r="J13" s="69">
        <f t="shared" si="5"/>
        <v>44350</v>
      </c>
      <c r="K13" s="70" t="str">
        <f ca="1" t="shared" si="6"/>
        <v>已到期</v>
      </c>
      <c r="L13" s="71">
        <f ca="1" t="shared" si="1"/>
        <v>2.99520876112252</v>
      </c>
      <c r="M13" s="74" t="s">
        <v>202</v>
      </c>
      <c r="N13" s="63" t="str">
        <f t="shared" si="2"/>
        <v>07月28日</v>
      </c>
      <c r="O13" s="63">
        <f ca="1" t="shared" si="3"/>
        <v>32</v>
      </c>
      <c r="P13" s="63" t="s">
        <v>18</v>
      </c>
      <c r="Q13" s="63" t="s">
        <v>193</v>
      </c>
      <c r="R13" s="63" t="s">
        <v>203</v>
      </c>
      <c r="S13" s="63" t="s">
        <v>158</v>
      </c>
      <c r="T13" s="64" t="s">
        <v>101</v>
      </c>
      <c r="U13" s="64" t="s">
        <v>21</v>
      </c>
      <c r="V13" s="64" t="s">
        <v>204</v>
      </c>
      <c r="W13" s="64" t="s">
        <v>195</v>
      </c>
      <c r="X13" s="64" t="s">
        <v>35</v>
      </c>
      <c r="Y13" s="63" t="s">
        <v>205</v>
      </c>
      <c r="Z13" s="75" t="s">
        <v>206</v>
      </c>
      <c r="AA13" s="75" t="s">
        <v>106</v>
      </c>
      <c r="AB13" s="75" t="s">
        <v>107</v>
      </c>
      <c r="AC13" s="63">
        <v>12345678920</v>
      </c>
      <c r="AD13" s="63" t="s">
        <v>207</v>
      </c>
      <c r="AE13" s="63">
        <v>12345678950</v>
      </c>
      <c r="AF13" s="63" t="str">
        <f ca="1" t="shared" si="4"/>
        <v>已离职</v>
      </c>
      <c r="AG13" s="69">
        <v>44349</v>
      </c>
      <c r="AH13" s="63" t="s">
        <v>208</v>
      </c>
      <c r="AI13" s="63">
        <v>1122343</v>
      </c>
      <c r="AJ13" s="66">
        <v>43266</v>
      </c>
      <c r="AK13" s="69">
        <v>44362</v>
      </c>
      <c r="AL13" s="63">
        <v>112339</v>
      </c>
      <c r="AM13" s="66">
        <v>43266</v>
      </c>
      <c r="AN13" s="69">
        <v>44362</v>
      </c>
      <c r="AO13" s="63" t="s">
        <v>109</v>
      </c>
      <c r="AP13" s="63">
        <v>6000000011</v>
      </c>
      <c r="AQ13" s="77"/>
      <c r="AR13" s="77"/>
      <c r="AS13" s="77"/>
    </row>
    <row r="14" s="55" customFormat="1" ht="13" customHeight="1" spans="1:45">
      <c r="A14" s="63">
        <v>12</v>
      </c>
      <c r="B14" s="63" t="s">
        <v>209</v>
      </c>
      <c r="C14" s="63" t="s">
        <v>210</v>
      </c>
      <c r="D14" s="63" t="str">
        <f t="shared" si="0"/>
        <v>男</v>
      </c>
      <c r="E14" s="63" t="s">
        <v>50</v>
      </c>
      <c r="F14" s="64" t="s">
        <v>211</v>
      </c>
      <c r="G14" s="65">
        <v>43276</v>
      </c>
      <c r="H14" s="66">
        <v>43374</v>
      </c>
      <c r="I14" s="63">
        <v>3</v>
      </c>
      <c r="J14" s="69">
        <f t="shared" si="5"/>
        <v>44371</v>
      </c>
      <c r="K14" s="70" t="str">
        <f ca="1" t="shared" si="6"/>
        <v>还差21天到期</v>
      </c>
      <c r="L14" s="71">
        <f ca="1" t="shared" si="1"/>
        <v>2.94045174537988</v>
      </c>
      <c r="M14" s="74" t="s">
        <v>212</v>
      </c>
      <c r="N14" s="63" t="str">
        <f t="shared" si="2"/>
        <v>07月16日</v>
      </c>
      <c r="O14" s="63">
        <f ca="1" t="shared" si="3"/>
        <v>27</v>
      </c>
      <c r="P14" s="63" t="s">
        <v>20</v>
      </c>
      <c r="Q14" s="63" t="s">
        <v>114</v>
      </c>
      <c r="R14" s="63" t="s">
        <v>213</v>
      </c>
      <c r="S14" s="63" t="s">
        <v>214</v>
      </c>
      <c r="T14" s="64" t="s">
        <v>101</v>
      </c>
      <c r="U14" s="64" t="s">
        <v>21</v>
      </c>
      <c r="V14" s="64" t="s">
        <v>102</v>
      </c>
      <c r="W14" s="64" t="s">
        <v>215</v>
      </c>
      <c r="X14" s="64" t="s">
        <v>33</v>
      </c>
      <c r="Y14" s="63" t="s">
        <v>216</v>
      </c>
      <c r="Z14" s="75" t="s">
        <v>217</v>
      </c>
      <c r="AA14" s="75" t="s">
        <v>106</v>
      </c>
      <c r="AB14" s="75" t="s">
        <v>107</v>
      </c>
      <c r="AC14" s="63">
        <v>12345678921</v>
      </c>
      <c r="AD14" s="63" t="s">
        <v>218</v>
      </c>
      <c r="AE14" s="63">
        <v>12345678951</v>
      </c>
      <c r="AF14" s="63" t="str">
        <f ca="1" t="shared" si="4"/>
        <v>在职</v>
      </c>
      <c r="AG14" s="69"/>
      <c r="AH14" s="63"/>
      <c r="AI14" s="63">
        <v>1122344</v>
      </c>
      <c r="AJ14" s="66">
        <v>43296</v>
      </c>
      <c r="AK14" s="69"/>
      <c r="AL14" s="63">
        <v>112340</v>
      </c>
      <c r="AM14" s="66">
        <v>43296</v>
      </c>
      <c r="AN14" s="69"/>
      <c r="AO14" s="63" t="s">
        <v>109</v>
      </c>
      <c r="AP14" s="63">
        <v>6000000012</v>
      </c>
      <c r="AQ14" s="77"/>
      <c r="AR14" s="77"/>
      <c r="AS14" s="77"/>
    </row>
    <row r="15" s="55" customFormat="1" ht="13" customHeight="1" spans="1:45">
      <c r="A15" s="63">
        <v>13</v>
      </c>
      <c r="B15" s="63" t="s">
        <v>219</v>
      </c>
      <c r="C15" s="63" t="s">
        <v>220</v>
      </c>
      <c r="D15" s="63" t="str">
        <f t="shared" si="0"/>
        <v>男</v>
      </c>
      <c r="E15" s="63" t="s">
        <v>50</v>
      </c>
      <c r="F15" s="64" t="s">
        <v>103</v>
      </c>
      <c r="G15" s="65">
        <v>43405</v>
      </c>
      <c r="H15" s="66">
        <v>43497</v>
      </c>
      <c r="I15" s="63">
        <v>3</v>
      </c>
      <c r="J15" s="69">
        <f t="shared" si="5"/>
        <v>44500</v>
      </c>
      <c r="K15" s="70" t="str">
        <f ca="1" t="shared" si="6"/>
        <v>还差150天到期</v>
      </c>
      <c r="L15" s="71">
        <f ca="1" t="shared" si="1"/>
        <v>2.58726899383984</v>
      </c>
      <c r="M15" s="74" t="s">
        <v>221</v>
      </c>
      <c r="N15" s="63" t="str">
        <f t="shared" si="2"/>
        <v>11月06日</v>
      </c>
      <c r="O15" s="63">
        <f ca="1" t="shared" si="3"/>
        <v>26</v>
      </c>
      <c r="P15" s="63" t="s">
        <v>18</v>
      </c>
      <c r="Q15" s="63" t="s">
        <v>114</v>
      </c>
      <c r="R15" s="63" t="s">
        <v>222</v>
      </c>
      <c r="S15" s="63" t="s">
        <v>214</v>
      </c>
      <c r="T15" s="64" t="s">
        <v>101</v>
      </c>
      <c r="U15" s="64" t="s">
        <v>21</v>
      </c>
      <c r="V15" s="64" t="s">
        <v>116</v>
      </c>
      <c r="W15" s="64" t="s">
        <v>117</v>
      </c>
      <c r="X15" s="64" t="s">
        <v>35</v>
      </c>
      <c r="Y15" s="63" t="s">
        <v>223</v>
      </c>
      <c r="Z15" s="75" t="s">
        <v>224</v>
      </c>
      <c r="AA15" s="75" t="s">
        <v>106</v>
      </c>
      <c r="AB15" s="75" t="s">
        <v>107</v>
      </c>
      <c r="AC15" s="63">
        <v>12345678922</v>
      </c>
      <c r="AD15" s="63" t="s">
        <v>225</v>
      </c>
      <c r="AE15" s="63">
        <v>12345678952</v>
      </c>
      <c r="AF15" s="63" t="str">
        <f ca="1" t="shared" si="4"/>
        <v>在职</v>
      </c>
      <c r="AG15" s="69"/>
      <c r="AH15" s="63"/>
      <c r="AI15" s="63">
        <v>1122345</v>
      </c>
      <c r="AJ15" s="66">
        <v>43419</v>
      </c>
      <c r="AK15" s="69"/>
      <c r="AL15" s="63">
        <v>112341</v>
      </c>
      <c r="AM15" s="66">
        <v>43419</v>
      </c>
      <c r="AN15" s="69"/>
      <c r="AO15" s="63" t="s">
        <v>109</v>
      </c>
      <c r="AP15" s="63">
        <v>6000000013</v>
      </c>
      <c r="AQ15" s="77"/>
      <c r="AR15" s="77"/>
      <c r="AS15" s="77"/>
    </row>
    <row r="16" s="55" customFormat="1" ht="13" customHeight="1" spans="1:45">
      <c r="A16" s="63">
        <v>14</v>
      </c>
      <c r="B16" s="63" t="s">
        <v>226</v>
      </c>
      <c r="C16" s="63" t="s">
        <v>227</v>
      </c>
      <c r="D16" s="63" t="str">
        <f t="shared" si="0"/>
        <v>男</v>
      </c>
      <c r="E16" s="63" t="s">
        <v>50</v>
      </c>
      <c r="F16" s="64" t="s">
        <v>103</v>
      </c>
      <c r="G16" s="65">
        <v>43646</v>
      </c>
      <c r="H16" s="66">
        <v>43739</v>
      </c>
      <c r="I16" s="63">
        <v>3</v>
      </c>
      <c r="J16" s="69">
        <f t="shared" si="5"/>
        <v>44741</v>
      </c>
      <c r="K16" s="70" t="str">
        <f ca="1" t="shared" si="6"/>
        <v>还差391天到期</v>
      </c>
      <c r="L16" s="71">
        <f ca="1" t="shared" si="1"/>
        <v>1.927446954141</v>
      </c>
      <c r="M16" s="74" t="s">
        <v>228</v>
      </c>
      <c r="N16" s="63" t="str">
        <f t="shared" si="2"/>
        <v>08月29日</v>
      </c>
      <c r="O16" s="63">
        <f ca="1" t="shared" si="3"/>
        <v>32</v>
      </c>
      <c r="P16" s="63" t="s">
        <v>18</v>
      </c>
      <c r="Q16" s="63" t="s">
        <v>183</v>
      </c>
      <c r="R16" s="63" t="s">
        <v>229</v>
      </c>
      <c r="S16" s="63" t="s">
        <v>214</v>
      </c>
      <c r="T16" s="64" t="s">
        <v>101</v>
      </c>
      <c r="U16" s="64" t="s">
        <v>21</v>
      </c>
      <c r="V16" s="64" t="s">
        <v>116</v>
      </c>
      <c r="W16" s="64" t="s">
        <v>117</v>
      </c>
      <c r="X16" s="64" t="s">
        <v>33</v>
      </c>
      <c r="Y16" s="63" t="s">
        <v>230</v>
      </c>
      <c r="Z16" s="75" t="s">
        <v>231</v>
      </c>
      <c r="AA16" s="75" t="s">
        <v>106</v>
      </c>
      <c r="AB16" s="75" t="s">
        <v>107</v>
      </c>
      <c r="AC16" s="63">
        <v>12345678923</v>
      </c>
      <c r="AD16" s="63" t="s">
        <v>232</v>
      </c>
      <c r="AE16" s="63">
        <v>12345678953</v>
      </c>
      <c r="AF16" s="63" t="str">
        <f ca="1" t="shared" si="4"/>
        <v>在职</v>
      </c>
      <c r="AG16" s="69"/>
      <c r="AH16" s="63"/>
      <c r="AI16" s="63">
        <v>1122346</v>
      </c>
      <c r="AJ16" s="66">
        <v>43661</v>
      </c>
      <c r="AK16" s="69"/>
      <c r="AL16" s="63">
        <v>112342</v>
      </c>
      <c r="AM16" s="66">
        <v>43661</v>
      </c>
      <c r="AN16" s="69"/>
      <c r="AO16" s="63" t="s">
        <v>109</v>
      </c>
      <c r="AP16" s="63">
        <v>6000000014</v>
      </c>
      <c r="AQ16" s="77"/>
      <c r="AR16" s="77"/>
      <c r="AS16" s="77"/>
    </row>
    <row r="17" s="55" customFormat="1" ht="13" customHeight="1" spans="1:45">
      <c r="A17" s="63">
        <v>15</v>
      </c>
      <c r="B17" s="63" t="s">
        <v>233</v>
      </c>
      <c r="C17" s="63" t="s">
        <v>234</v>
      </c>
      <c r="D17" s="63" t="str">
        <f t="shared" si="0"/>
        <v>男</v>
      </c>
      <c r="E17" s="63" t="s">
        <v>50</v>
      </c>
      <c r="F17" s="64" t="s">
        <v>235</v>
      </c>
      <c r="G17" s="65">
        <v>43678</v>
      </c>
      <c r="H17" s="66">
        <v>43770</v>
      </c>
      <c r="I17" s="63">
        <v>3</v>
      </c>
      <c r="J17" s="69">
        <f t="shared" si="5"/>
        <v>44773</v>
      </c>
      <c r="K17" s="70" t="str">
        <f ca="1" t="shared" si="6"/>
        <v>还差423天到期</v>
      </c>
      <c r="L17" s="71">
        <f ca="1" t="shared" si="1"/>
        <v>1.86721423682409</v>
      </c>
      <c r="M17" s="74" t="s">
        <v>236</v>
      </c>
      <c r="N17" s="63" t="str">
        <f t="shared" si="2"/>
        <v>10月25日</v>
      </c>
      <c r="O17" s="63">
        <f ca="1" t="shared" si="3"/>
        <v>30</v>
      </c>
      <c r="P17" s="63" t="s">
        <v>18</v>
      </c>
      <c r="Q17" s="63" t="s">
        <v>237</v>
      </c>
      <c r="R17" s="63" t="s">
        <v>238</v>
      </c>
      <c r="S17" s="63" t="s">
        <v>214</v>
      </c>
      <c r="T17" s="64" t="s">
        <v>101</v>
      </c>
      <c r="U17" s="64" t="s">
        <v>21</v>
      </c>
      <c r="V17" s="64" t="s">
        <v>159</v>
      </c>
      <c r="W17" s="64"/>
      <c r="X17" s="64" t="s">
        <v>33</v>
      </c>
      <c r="Y17" s="63" t="s">
        <v>239</v>
      </c>
      <c r="Z17" s="75" t="s">
        <v>240</v>
      </c>
      <c r="AA17" s="75" t="s">
        <v>106</v>
      </c>
      <c r="AB17" s="75" t="s">
        <v>130</v>
      </c>
      <c r="AC17" s="63">
        <v>12345678924</v>
      </c>
      <c r="AD17" s="63" t="s">
        <v>241</v>
      </c>
      <c r="AE17" s="63">
        <v>12345678954</v>
      </c>
      <c r="AF17" s="63" t="str">
        <f ca="1" t="shared" si="4"/>
        <v>在职</v>
      </c>
      <c r="AG17" s="69">
        <v>44360</v>
      </c>
      <c r="AH17" s="63" t="s">
        <v>208</v>
      </c>
      <c r="AI17" s="63">
        <v>1122347</v>
      </c>
      <c r="AJ17" s="66">
        <v>43692</v>
      </c>
      <c r="AK17" s="69">
        <v>44362</v>
      </c>
      <c r="AL17" s="63">
        <v>112343</v>
      </c>
      <c r="AM17" s="66">
        <v>43692</v>
      </c>
      <c r="AN17" s="69">
        <v>44362</v>
      </c>
      <c r="AO17" s="63" t="s">
        <v>109</v>
      </c>
      <c r="AP17" s="63">
        <v>6000000015</v>
      </c>
      <c r="AQ17" s="77"/>
      <c r="AR17" s="77" t="s">
        <v>242</v>
      </c>
      <c r="AS17" s="77"/>
    </row>
    <row r="18" s="55" customFormat="1" ht="13" customHeight="1" spans="1:45">
      <c r="A18" s="63">
        <v>16</v>
      </c>
      <c r="B18" s="63" t="s">
        <v>243</v>
      </c>
      <c r="C18" s="63" t="s">
        <v>244</v>
      </c>
      <c r="D18" s="63" t="str">
        <f t="shared" si="0"/>
        <v>女</v>
      </c>
      <c r="E18" s="63" t="s">
        <v>50</v>
      </c>
      <c r="F18" s="64" t="s">
        <v>235</v>
      </c>
      <c r="G18" s="65">
        <v>43507</v>
      </c>
      <c r="H18" s="66">
        <v>43600</v>
      </c>
      <c r="I18" s="63">
        <v>3</v>
      </c>
      <c r="J18" s="69">
        <f t="shared" si="5"/>
        <v>44602</v>
      </c>
      <c r="K18" s="70" t="str">
        <f ca="1" t="shared" si="6"/>
        <v>还差252天到期</v>
      </c>
      <c r="L18" s="71">
        <f ca="1" t="shared" si="1"/>
        <v>2.30800821355236</v>
      </c>
      <c r="M18" s="74" t="s">
        <v>245</v>
      </c>
      <c r="N18" s="63" t="str">
        <f t="shared" si="2"/>
        <v>06月19日</v>
      </c>
      <c r="O18" s="63">
        <f ca="1" t="shared" si="3"/>
        <v>28</v>
      </c>
      <c r="P18" s="63" t="s">
        <v>18</v>
      </c>
      <c r="Q18" s="63" t="s">
        <v>246</v>
      </c>
      <c r="R18" s="63" t="s">
        <v>247</v>
      </c>
      <c r="S18" s="63" t="s">
        <v>214</v>
      </c>
      <c r="T18" s="64" t="s">
        <v>101</v>
      </c>
      <c r="U18" s="64" t="s">
        <v>21</v>
      </c>
      <c r="V18" s="64" t="s">
        <v>159</v>
      </c>
      <c r="W18" s="64"/>
      <c r="X18" s="64" t="s">
        <v>35</v>
      </c>
      <c r="Y18" s="63" t="s">
        <v>248</v>
      </c>
      <c r="Z18" s="75" t="s">
        <v>197</v>
      </c>
      <c r="AA18" s="75" t="s">
        <v>106</v>
      </c>
      <c r="AB18" s="75" t="s">
        <v>107</v>
      </c>
      <c r="AC18" s="63">
        <v>12345678925</v>
      </c>
      <c r="AD18" s="63" t="s">
        <v>249</v>
      </c>
      <c r="AE18" s="63">
        <v>12345678955</v>
      </c>
      <c r="AF18" s="63" t="str">
        <f ca="1" t="shared" si="4"/>
        <v>在职</v>
      </c>
      <c r="AG18" s="69"/>
      <c r="AH18" s="63"/>
      <c r="AI18" s="63">
        <v>1122348</v>
      </c>
      <c r="AJ18" s="66">
        <v>43511</v>
      </c>
      <c r="AK18" s="69"/>
      <c r="AL18" s="63">
        <v>112344</v>
      </c>
      <c r="AM18" s="66">
        <v>43511</v>
      </c>
      <c r="AN18" s="69"/>
      <c r="AO18" s="63" t="s">
        <v>109</v>
      </c>
      <c r="AP18" s="63">
        <v>6000000016</v>
      </c>
      <c r="AQ18" s="77"/>
      <c r="AR18" s="77"/>
      <c r="AS18" s="77"/>
    </row>
    <row r="19" s="55" customFormat="1" ht="13" customHeight="1" spans="1:45">
      <c r="A19" s="63">
        <v>17</v>
      </c>
      <c r="B19" s="63" t="s">
        <v>250</v>
      </c>
      <c r="C19" s="63" t="s">
        <v>251</v>
      </c>
      <c r="D19" s="63" t="str">
        <f t="shared" si="0"/>
        <v>男</v>
      </c>
      <c r="E19" s="63" t="s">
        <v>50</v>
      </c>
      <c r="F19" s="64" t="s">
        <v>235</v>
      </c>
      <c r="G19" s="65">
        <v>43507</v>
      </c>
      <c r="H19" s="66">
        <v>43600</v>
      </c>
      <c r="I19" s="63">
        <v>3</v>
      </c>
      <c r="J19" s="69">
        <f t="shared" si="5"/>
        <v>44602</v>
      </c>
      <c r="K19" s="70" t="str">
        <f ca="1" t="shared" si="6"/>
        <v>还差252天到期</v>
      </c>
      <c r="L19" s="71">
        <f ca="1" t="shared" si="1"/>
        <v>2.30800821355236</v>
      </c>
      <c r="M19" s="74" t="s">
        <v>252</v>
      </c>
      <c r="N19" s="63" t="str">
        <f t="shared" si="2"/>
        <v>09月03日</v>
      </c>
      <c r="O19" s="63">
        <f ca="1" t="shared" si="3"/>
        <v>28</v>
      </c>
      <c r="P19" s="63" t="s">
        <v>18</v>
      </c>
      <c r="Q19" s="63" t="s">
        <v>99</v>
      </c>
      <c r="R19" s="63" t="s">
        <v>100</v>
      </c>
      <c r="S19" s="63" t="s">
        <v>214</v>
      </c>
      <c r="T19" s="64" t="s">
        <v>101</v>
      </c>
      <c r="U19" s="64" t="s">
        <v>21</v>
      </c>
      <c r="V19" s="64" t="s">
        <v>159</v>
      </c>
      <c r="W19" s="64"/>
      <c r="X19" s="64" t="s">
        <v>35</v>
      </c>
      <c r="Y19" s="63" t="s">
        <v>253</v>
      </c>
      <c r="Z19" s="75" t="s">
        <v>197</v>
      </c>
      <c r="AA19" s="75" t="s">
        <v>106</v>
      </c>
      <c r="AB19" s="75" t="s">
        <v>107</v>
      </c>
      <c r="AC19" s="63">
        <v>12345678926</v>
      </c>
      <c r="AD19" s="63" t="s">
        <v>254</v>
      </c>
      <c r="AE19" s="63">
        <v>12345678956</v>
      </c>
      <c r="AF19" s="63" t="str">
        <f ca="1" t="shared" si="4"/>
        <v>在职</v>
      </c>
      <c r="AG19" s="69"/>
      <c r="AH19" s="63"/>
      <c r="AI19" s="63">
        <v>1122349</v>
      </c>
      <c r="AJ19" s="66">
        <v>43511</v>
      </c>
      <c r="AK19" s="69"/>
      <c r="AL19" s="63">
        <v>112345</v>
      </c>
      <c r="AM19" s="66">
        <v>43511</v>
      </c>
      <c r="AN19" s="69"/>
      <c r="AO19" s="63" t="s">
        <v>109</v>
      </c>
      <c r="AP19" s="63">
        <v>6000000017</v>
      </c>
      <c r="AQ19" s="77"/>
      <c r="AR19" s="77"/>
      <c r="AS19" s="77" t="s">
        <v>255</v>
      </c>
    </row>
    <row r="20" s="55" customFormat="1" ht="13" customHeight="1" spans="1:45">
      <c r="A20" s="63">
        <v>18</v>
      </c>
      <c r="B20" s="63" t="s">
        <v>256</v>
      </c>
      <c r="C20" s="63" t="s">
        <v>257</v>
      </c>
      <c r="D20" s="63" t="str">
        <f t="shared" si="0"/>
        <v>男</v>
      </c>
      <c r="E20" s="63" t="s">
        <v>50</v>
      </c>
      <c r="F20" s="64" t="s">
        <v>258</v>
      </c>
      <c r="G20" s="65">
        <v>43824</v>
      </c>
      <c r="H20" s="66">
        <v>43922</v>
      </c>
      <c r="I20" s="63">
        <v>3</v>
      </c>
      <c r="J20" s="69">
        <f t="shared" si="5"/>
        <v>44919</v>
      </c>
      <c r="K20" s="70" t="str">
        <f ca="1" t="shared" si="6"/>
        <v>还差569天到期</v>
      </c>
      <c r="L20" s="71">
        <f ca="1" t="shared" si="1"/>
        <v>1.44010951403149</v>
      </c>
      <c r="M20" s="74" t="s">
        <v>259</v>
      </c>
      <c r="N20" s="63" t="str">
        <f t="shared" si="2"/>
        <v>12月02日</v>
      </c>
      <c r="O20" s="63">
        <f ca="1" t="shared" si="3"/>
        <v>27</v>
      </c>
      <c r="P20" s="63" t="s">
        <v>20</v>
      </c>
      <c r="Q20" s="63" t="s">
        <v>114</v>
      </c>
      <c r="R20" s="63" t="s">
        <v>115</v>
      </c>
      <c r="S20" s="63" t="s">
        <v>260</v>
      </c>
      <c r="T20" s="64" t="s">
        <v>101</v>
      </c>
      <c r="U20" s="64" t="s">
        <v>21</v>
      </c>
      <c r="V20" s="64" t="s">
        <v>159</v>
      </c>
      <c r="W20" s="64"/>
      <c r="X20" s="64" t="s">
        <v>35</v>
      </c>
      <c r="Y20" s="63" t="s">
        <v>261</v>
      </c>
      <c r="Z20" s="75" t="s">
        <v>262</v>
      </c>
      <c r="AA20" s="75" t="s">
        <v>106</v>
      </c>
      <c r="AB20" s="75" t="s">
        <v>107</v>
      </c>
      <c r="AC20" s="63">
        <v>12345678927</v>
      </c>
      <c r="AD20" s="63" t="s">
        <v>263</v>
      </c>
      <c r="AE20" s="63">
        <v>12345678957</v>
      </c>
      <c r="AF20" s="63" t="str">
        <f ca="1" t="shared" si="4"/>
        <v>在职</v>
      </c>
      <c r="AG20" s="69"/>
      <c r="AH20" s="63"/>
      <c r="AI20" s="63">
        <v>1122350</v>
      </c>
      <c r="AJ20" s="66">
        <v>43845</v>
      </c>
      <c r="AK20" s="69"/>
      <c r="AL20" s="63">
        <v>112346</v>
      </c>
      <c r="AM20" s="66">
        <v>43845</v>
      </c>
      <c r="AN20" s="69"/>
      <c r="AO20" s="63" t="s">
        <v>109</v>
      </c>
      <c r="AP20" s="63">
        <v>6000000018</v>
      </c>
      <c r="AQ20" s="77"/>
      <c r="AR20" s="77"/>
      <c r="AS20" s="77"/>
    </row>
    <row r="21" s="55" customFormat="1" ht="13" customHeight="1" spans="1:45">
      <c r="A21" s="63">
        <v>19</v>
      </c>
      <c r="B21" s="63" t="s">
        <v>264</v>
      </c>
      <c r="C21" s="63" t="s">
        <v>265</v>
      </c>
      <c r="D21" s="63" t="str">
        <f t="shared" si="0"/>
        <v>男</v>
      </c>
      <c r="E21" s="63" t="s">
        <v>50</v>
      </c>
      <c r="F21" s="64" t="s">
        <v>258</v>
      </c>
      <c r="G21" s="65">
        <v>43895</v>
      </c>
      <c r="H21" s="66">
        <v>43983</v>
      </c>
      <c r="I21" s="63">
        <v>3</v>
      </c>
      <c r="J21" s="69">
        <f t="shared" si="5"/>
        <v>44989</v>
      </c>
      <c r="K21" s="70" t="str">
        <f ca="1" t="shared" si="6"/>
        <v>还差639天到期</v>
      </c>
      <c r="L21" s="71">
        <f ca="1" t="shared" si="1"/>
        <v>1.24572210814511</v>
      </c>
      <c r="M21" s="74" t="s">
        <v>266</v>
      </c>
      <c r="N21" s="63" t="str">
        <f t="shared" si="2"/>
        <v>01月01日</v>
      </c>
      <c r="O21" s="63">
        <f ca="1" t="shared" si="3"/>
        <v>24</v>
      </c>
      <c r="P21" s="63" t="s">
        <v>20</v>
      </c>
      <c r="Q21" s="63" t="s">
        <v>126</v>
      </c>
      <c r="R21" s="63" t="s">
        <v>127</v>
      </c>
      <c r="S21" s="63" t="s">
        <v>260</v>
      </c>
      <c r="T21" s="64" t="s">
        <v>101</v>
      </c>
      <c r="U21" s="64" t="s">
        <v>21</v>
      </c>
      <c r="V21" s="64" t="s">
        <v>159</v>
      </c>
      <c r="W21" s="64"/>
      <c r="X21" s="64" t="s">
        <v>33</v>
      </c>
      <c r="Y21" s="63" t="s">
        <v>267</v>
      </c>
      <c r="Z21" s="75" t="s">
        <v>197</v>
      </c>
      <c r="AA21" s="75" t="s">
        <v>106</v>
      </c>
      <c r="AB21" s="75" t="s">
        <v>107</v>
      </c>
      <c r="AC21" s="63">
        <v>12345678928</v>
      </c>
      <c r="AD21" s="63" t="s">
        <v>268</v>
      </c>
      <c r="AE21" s="63">
        <v>12345678958</v>
      </c>
      <c r="AF21" s="63" t="str">
        <f ca="1" t="shared" si="4"/>
        <v>在职</v>
      </c>
      <c r="AG21" s="69"/>
      <c r="AH21" s="63"/>
      <c r="AI21" s="63">
        <v>1122351</v>
      </c>
      <c r="AJ21" s="66">
        <v>43905</v>
      </c>
      <c r="AK21" s="69"/>
      <c r="AL21" s="63">
        <v>112347</v>
      </c>
      <c r="AM21" s="66">
        <v>43905</v>
      </c>
      <c r="AN21" s="69"/>
      <c r="AO21" s="63" t="s">
        <v>109</v>
      </c>
      <c r="AP21" s="63">
        <v>6000000019</v>
      </c>
      <c r="AQ21" s="77"/>
      <c r="AR21" s="77"/>
      <c r="AS21" s="77"/>
    </row>
    <row r="22" s="55" customFormat="1" ht="13" customHeight="1" spans="1:45">
      <c r="A22" s="63">
        <v>20</v>
      </c>
      <c r="B22" s="63" t="s">
        <v>269</v>
      </c>
      <c r="C22" s="63" t="s">
        <v>270</v>
      </c>
      <c r="D22" s="63" t="str">
        <f t="shared" si="0"/>
        <v>女</v>
      </c>
      <c r="E22" s="63" t="s">
        <v>50</v>
      </c>
      <c r="F22" s="64" t="s">
        <v>258</v>
      </c>
      <c r="G22" s="65">
        <v>43895</v>
      </c>
      <c r="H22" s="66">
        <v>43983</v>
      </c>
      <c r="I22" s="63">
        <v>3</v>
      </c>
      <c r="J22" s="69">
        <f t="shared" si="5"/>
        <v>44989</v>
      </c>
      <c r="K22" s="70" t="str">
        <f ca="1" t="shared" si="6"/>
        <v>还差639天到期</v>
      </c>
      <c r="L22" s="71">
        <f ca="1" t="shared" si="1"/>
        <v>1.24572210814511</v>
      </c>
      <c r="M22" s="74" t="s">
        <v>271</v>
      </c>
      <c r="N22" s="63" t="str">
        <f t="shared" si="2"/>
        <v>02月25日</v>
      </c>
      <c r="O22" s="63">
        <f ca="1" t="shared" si="3"/>
        <v>23</v>
      </c>
      <c r="P22" s="63" t="s">
        <v>20</v>
      </c>
      <c r="Q22" s="63" t="s">
        <v>137</v>
      </c>
      <c r="R22" s="63" t="s">
        <v>138</v>
      </c>
      <c r="S22" s="63" t="s">
        <v>260</v>
      </c>
      <c r="T22" s="64" t="s">
        <v>272</v>
      </c>
      <c r="U22" s="64" t="s">
        <v>21</v>
      </c>
      <c r="V22" s="64" t="s">
        <v>159</v>
      </c>
      <c r="W22" s="64"/>
      <c r="X22" s="64" t="s">
        <v>35</v>
      </c>
      <c r="Y22" s="63" t="s">
        <v>273</v>
      </c>
      <c r="Z22" s="75" t="s">
        <v>197</v>
      </c>
      <c r="AA22" s="75" t="s">
        <v>106</v>
      </c>
      <c r="AB22" s="75" t="s">
        <v>107</v>
      </c>
      <c r="AC22" s="63">
        <v>12345678929</v>
      </c>
      <c r="AD22" s="63" t="s">
        <v>274</v>
      </c>
      <c r="AE22" s="63">
        <v>12345678959</v>
      </c>
      <c r="AF22" s="63" t="str">
        <f ca="1" t="shared" si="4"/>
        <v>在职</v>
      </c>
      <c r="AG22" s="69"/>
      <c r="AH22" s="63"/>
      <c r="AI22" s="63">
        <v>1122352</v>
      </c>
      <c r="AJ22" s="66">
        <v>43905</v>
      </c>
      <c r="AK22" s="69"/>
      <c r="AL22" s="63">
        <v>112348</v>
      </c>
      <c r="AM22" s="66">
        <v>43905</v>
      </c>
      <c r="AN22" s="69"/>
      <c r="AO22" s="63" t="s">
        <v>109</v>
      </c>
      <c r="AP22" s="63">
        <v>6000000020</v>
      </c>
      <c r="AQ22" s="77"/>
      <c r="AR22" s="77"/>
      <c r="AS22" s="77"/>
    </row>
    <row r="23" s="55" customFormat="1" ht="13" customHeight="1" spans="1:45">
      <c r="A23" s="63">
        <v>21</v>
      </c>
      <c r="B23" s="63" t="s">
        <v>275</v>
      </c>
      <c r="C23" s="63" t="s">
        <v>276</v>
      </c>
      <c r="D23" s="63" t="str">
        <f t="shared" si="0"/>
        <v>女</v>
      </c>
      <c r="E23" s="63" t="s">
        <v>50</v>
      </c>
      <c r="F23" s="64" t="s">
        <v>277</v>
      </c>
      <c r="G23" s="65">
        <v>43895</v>
      </c>
      <c r="H23" s="66">
        <v>43983</v>
      </c>
      <c r="I23" s="63">
        <v>3</v>
      </c>
      <c r="J23" s="69">
        <f t="shared" si="5"/>
        <v>44989</v>
      </c>
      <c r="K23" s="70" t="str">
        <f ca="1" t="shared" si="6"/>
        <v>还差639天到期</v>
      </c>
      <c r="L23" s="71">
        <f ca="1" t="shared" si="1"/>
        <v>1.27583846680356</v>
      </c>
      <c r="M23" s="74" t="s">
        <v>278</v>
      </c>
      <c r="N23" s="63" t="str">
        <f t="shared" si="2"/>
        <v>06月13日</v>
      </c>
      <c r="O23" s="63">
        <f ca="1" t="shared" si="3"/>
        <v>26</v>
      </c>
      <c r="P23" s="63" t="s">
        <v>20</v>
      </c>
      <c r="Q23" s="63" t="s">
        <v>137</v>
      </c>
      <c r="R23" s="63" t="s">
        <v>147</v>
      </c>
      <c r="S23" s="63" t="s">
        <v>260</v>
      </c>
      <c r="T23" s="64" t="s">
        <v>101</v>
      </c>
      <c r="U23" s="64" t="s">
        <v>21</v>
      </c>
      <c r="V23" s="64" t="s">
        <v>159</v>
      </c>
      <c r="W23" s="64"/>
      <c r="X23" s="64" t="s">
        <v>35</v>
      </c>
      <c r="Y23" s="63" t="s">
        <v>279</v>
      </c>
      <c r="Z23" s="75" t="s">
        <v>197</v>
      </c>
      <c r="AA23" s="75" t="s">
        <v>106</v>
      </c>
      <c r="AB23" s="75" t="s">
        <v>107</v>
      </c>
      <c r="AC23" s="63">
        <v>12345678930</v>
      </c>
      <c r="AD23" s="63" t="s">
        <v>280</v>
      </c>
      <c r="AE23" s="63">
        <v>12345678960</v>
      </c>
      <c r="AF23" s="63" t="str">
        <f ca="1" t="shared" si="4"/>
        <v>在职</v>
      </c>
      <c r="AG23" s="69">
        <v>44361</v>
      </c>
      <c r="AH23" s="63" t="s">
        <v>208</v>
      </c>
      <c r="AI23" s="63">
        <v>1122353</v>
      </c>
      <c r="AJ23" s="66">
        <v>43905</v>
      </c>
      <c r="AK23" s="69">
        <v>44362</v>
      </c>
      <c r="AL23" s="63">
        <v>112349</v>
      </c>
      <c r="AM23" s="66">
        <v>43905</v>
      </c>
      <c r="AN23" s="69">
        <v>44362</v>
      </c>
      <c r="AO23" s="63" t="s">
        <v>109</v>
      </c>
      <c r="AP23" s="63">
        <v>6000000021</v>
      </c>
      <c r="AQ23" s="77"/>
      <c r="AR23" s="77"/>
      <c r="AS23" s="77"/>
    </row>
    <row r="24" s="55" customFormat="1" ht="13" customHeight="1" spans="1:45">
      <c r="A24" s="63">
        <v>22</v>
      </c>
      <c r="B24" s="63" t="s">
        <v>281</v>
      </c>
      <c r="C24" s="63" t="s">
        <v>282</v>
      </c>
      <c r="D24" s="63" t="str">
        <f t="shared" si="0"/>
        <v>男</v>
      </c>
      <c r="E24" s="63" t="s">
        <v>50</v>
      </c>
      <c r="F24" s="64" t="s">
        <v>277</v>
      </c>
      <c r="G24" s="65">
        <v>43895</v>
      </c>
      <c r="H24" s="66">
        <v>43983</v>
      </c>
      <c r="I24" s="63">
        <v>3</v>
      </c>
      <c r="J24" s="69">
        <f t="shared" si="5"/>
        <v>44989</v>
      </c>
      <c r="K24" s="70" t="str">
        <f ca="1" t="shared" si="6"/>
        <v>还差639天到期</v>
      </c>
      <c r="L24" s="71">
        <f ca="1" t="shared" si="1"/>
        <v>1.24572210814511</v>
      </c>
      <c r="M24" s="74" t="s">
        <v>283</v>
      </c>
      <c r="N24" s="63" t="str">
        <f t="shared" si="2"/>
        <v>06月07日</v>
      </c>
      <c r="O24" s="63">
        <f ca="1" t="shared" si="3"/>
        <v>27</v>
      </c>
      <c r="P24" s="63" t="s">
        <v>20</v>
      </c>
      <c r="Q24" s="63" t="s">
        <v>114</v>
      </c>
      <c r="R24" s="63" t="s">
        <v>157</v>
      </c>
      <c r="S24" s="63" t="s">
        <v>260</v>
      </c>
      <c r="T24" s="64" t="s">
        <v>101</v>
      </c>
      <c r="U24" s="64" t="s">
        <v>21</v>
      </c>
      <c r="V24" s="64" t="s">
        <v>159</v>
      </c>
      <c r="W24" s="64"/>
      <c r="X24" s="64" t="s">
        <v>33</v>
      </c>
      <c r="Y24" s="63" t="s">
        <v>284</v>
      </c>
      <c r="Z24" s="75" t="s">
        <v>197</v>
      </c>
      <c r="AA24" s="75" t="s">
        <v>106</v>
      </c>
      <c r="AB24" s="75" t="s">
        <v>107</v>
      </c>
      <c r="AC24" s="63">
        <v>12345678931</v>
      </c>
      <c r="AD24" s="63" t="s">
        <v>285</v>
      </c>
      <c r="AE24" s="63">
        <v>12345678961</v>
      </c>
      <c r="AF24" s="63" t="str">
        <f ca="1" t="shared" si="4"/>
        <v>在职</v>
      </c>
      <c r="AG24" s="69"/>
      <c r="AH24" s="63"/>
      <c r="AI24" s="63">
        <v>1122354</v>
      </c>
      <c r="AJ24" s="66">
        <v>43905</v>
      </c>
      <c r="AK24" s="69"/>
      <c r="AL24" s="63">
        <v>112350</v>
      </c>
      <c r="AM24" s="66">
        <v>43905</v>
      </c>
      <c r="AN24" s="69"/>
      <c r="AO24" s="63" t="s">
        <v>109</v>
      </c>
      <c r="AP24" s="63">
        <v>6000000022</v>
      </c>
      <c r="AQ24" s="77"/>
      <c r="AR24" s="77"/>
      <c r="AS24" s="77"/>
    </row>
    <row r="25" s="55" customFormat="1" ht="13" customHeight="1" spans="1:45">
      <c r="A25" s="63">
        <v>23</v>
      </c>
      <c r="B25" s="63" t="s">
        <v>286</v>
      </c>
      <c r="C25" s="63" t="s">
        <v>287</v>
      </c>
      <c r="D25" s="63" t="str">
        <f t="shared" si="0"/>
        <v>男</v>
      </c>
      <c r="E25" s="63" t="s">
        <v>50</v>
      </c>
      <c r="F25" s="64" t="s">
        <v>288</v>
      </c>
      <c r="G25" s="65">
        <v>43895</v>
      </c>
      <c r="H25" s="66">
        <v>43983</v>
      </c>
      <c r="I25" s="63">
        <v>3</v>
      </c>
      <c r="J25" s="69">
        <f t="shared" si="5"/>
        <v>44989</v>
      </c>
      <c r="K25" s="70" t="str">
        <f ca="1" t="shared" si="6"/>
        <v>还差639天到期</v>
      </c>
      <c r="L25" s="71">
        <f ca="1" t="shared" si="1"/>
        <v>1.24572210814511</v>
      </c>
      <c r="M25" s="74" t="s">
        <v>289</v>
      </c>
      <c r="N25" s="63" t="str">
        <f t="shared" si="2"/>
        <v>05月15日</v>
      </c>
      <c r="O25" s="63">
        <f ca="1" t="shared" si="3"/>
        <v>22</v>
      </c>
      <c r="P25" s="63" t="s">
        <v>20</v>
      </c>
      <c r="Q25" s="63" t="s">
        <v>99</v>
      </c>
      <c r="R25" s="63" t="s">
        <v>167</v>
      </c>
      <c r="S25" s="63" t="s">
        <v>260</v>
      </c>
      <c r="T25" s="64" t="s">
        <v>101</v>
      </c>
      <c r="U25" s="64" t="s">
        <v>21</v>
      </c>
      <c r="V25" s="64" t="s">
        <v>159</v>
      </c>
      <c r="W25" s="64"/>
      <c r="X25" s="63" t="s">
        <v>35</v>
      </c>
      <c r="Y25" s="63" t="s">
        <v>290</v>
      </c>
      <c r="Z25" s="75" t="s">
        <v>291</v>
      </c>
      <c r="AA25" s="75" t="s">
        <v>106</v>
      </c>
      <c r="AB25" s="75" t="s">
        <v>107</v>
      </c>
      <c r="AC25" s="63">
        <v>12345678932</v>
      </c>
      <c r="AD25" s="63" t="s">
        <v>292</v>
      </c>
      <c r="AE25" s="63">
        <v>12345678962</v>
      </c>
      <c r="AF25" s="63" t="str">
        <f ca="1" t="shared" si="4"/>
        <v>在职</v>
      </c>
      <c r="AG25" s="69"/>
      <c r="AH25" s="63"/>
      <c r="AI25" s="63">
        <v>1122355</v>
      </c>
      <c r="AJ25" s="66">
        <v>43905</v>
      </c>
      <c r="AK25" s="69"/>
      <c r="AL25" s="63">
        <v>112351</v>
      </c>
      <c r="AM25" s="66">
        <v>43905</v>
      </c>
      <c r="AN25" s="69"/>
      <c r="AO25" s="63" t="s">
        <v>109</v>
      </c>
      <c r="AP25" s="63">
        <v>6000000023</v>
      </c>
      <c r="AQ25" s="77"/>
      <c r="AR25" s="77"/>
      <c r="AS25" s="77"/>
    </row>
    <row r="26" s="55" customFormat="1" ht="13" customHeight="1" spans="1:45">
      <c r="A26" s="63">
        <v>24</v>
      </c>
      <c r="B26" s="63" t="s">
        <v>293</v>
      </c>
      <c r="C26" s="63" t="s">
        <v>294</v>
      </c>
      <c r="D26" s="63" t="str">
        <f t="shared" si="0"/>
        <v>男</v>
      </c>
      <c r="E26" s="63" t="s">
        <v>50</v>
      </c>
      <c r="F26" s="64" t="s">
        <v>288</v>
      </c>
      <c r="G26" s="65">
        <v>43895</v>
      </c>
      <c r="H26" s="66">
        <v>43983</v>
      </c>
      <c r="I26" s="63">
        <v>3</v>
      </c>
      <c r="J26" s="69">
        <f t="shared" si="5"/>
        <v>44989</v>
      </c>
      <c r="K26" s="70" t="str">
        <f ca="1" t="shared" si="6"/>
        <v>还差639天到期</v>
      </c>
      <c r="L26" s="71">
        <f ca="1" t="shared" si="1"/>
        <v>1.24572210814511</v>
      </c>
      <c r="M26" s="74" t="s">
        <v>295</v>
      </c>
      <c r="N26" s="63" t="str">
        <f t="shared" si="2"/>
        <v>10月19日</v>
      </c>
      <c r="O26" s="63">
        <f ca="1" t="shared" si="3"/>
        <v>28</v>
      </c>
      <c r="P26" s="63" t="s">
        <v>20</v>
      </c>
      <c r="Q26" s="63" t="s">
        <v>99</v>
      </c>
      <c r="R26" s="63" t="s">
        <v>174</v>
      </c>
      <c r="S26" s="63" t="s">
        <v>296</v>
      </c>
      <c r="T26" s="64" t="s">
        <v>101</v>
      </c>
      <c r="U26" s="64" t="s">
        <v>21</v>
      </c>
      <c r="V26" s="64" t="s">
        <v>159</v>
      </c>
      <c r="W26" s="64"/>
      <c r="X26" s="64" t="s">
        <v>33</v>
      </c>
      <c r="Y26" s="63" t="s">
        <v>297</v>
      </c>
      <c r="Z26" s="75" t="s">
        <v>298</v>
      </c>
      <c r="AA26" s="75" t="s">
        <v>106</v>
      </c>
      <c r="AB26" s="75" t="s">
        <v>107</v>
      </c>
      <c r="AC26" s="63">
        <v>12345678933</v>
      </c>
      <c r="AD26" s="63" t="s">
        <v>299</v>
      </c>
      <c r="AE26" s="63">
        <v>12345678963</v>
      </c>
      <c r="AF26" s="63" t="str">
        <f ca="1" t="shared" si="4"/>
        <v>在职</v>
      </c>
      <c r="AG26" s="69"/>
      <c r="AH26" s="63"/>
      <c r="AI26" s="63">
        <v>1122356</v>
      </c>
      <c r="AJ26" s="66">
        <v>43905</v>
      </c>
      <c r="AK26" s="69"/>
      <c r="AL26" s="63">
        <v>112352</v>
      </c>
      <c r="AM26" s="66">
        <v>43905</v>
      </c>
      <c r="AN26" s="69"/>
      <c r="AO26" s="63" t="s">
        <v>109</v>
      </c>
      <c r="AP26" s="63">
        <v>6000000024</v>
      </c>
      <c r="AQ26" s="77"/>
      <c r="AR26" s="77"/>
      <c r="AS26" s="77"/>
    </row>
    <row r="27" s="55" customFormat="1" ht="13" customHeight="1" spans="1:45">
      <c r="A27" s="63">
        <v>25</v>
      </c>
      <c r="B27" s="63" t="s">
        <v>300</v>
      </c>
      <c r="C27" s="63" t="s">
        <v>301</v>
      </c>
      <c r="D27" s="63" t="str">
        <f t="shared" si="0"/>
        <v>男</v>
      </c>
      <c r="E27" s="63" t="s">
        <v>50</v>
      </c>
      <c r="F27" s="64" t="s">
        <v>302</v>
      </c>
      <c r="G27" s="65">
        <v>43908</v>
      </c>
      <c r="H27" s="66">
        <v>43997</v>
      </c>
      <c r="I27" s="63">
        <v>3</v>
      </c>
      <c r="J27" s="69">
        <f t="shared" si="5"/>
        <v>45002</v>
      </c>
      <c r="K27" s="70" t="str">
        <f ca="1" t="shared" si="6"/>
        <v>还差652天到期</v>
      </c>
      <c r="L27" s="71">
        <f ca="1" t="shared" si="1"/>
        <v>1.210</v>
      </c>
      <c r="M27" s="74" t="s">
        <v>303</v>
      </c>
      <c r="N27" s="63" t="str">
        <f t="shared" si="2"/>
        <v>12月20日</v>
      </c>
      <c r="O27" s="63">
        <f ca="1" t="shared" si="3"/>
        <v>25</v>
      </c>
      <c r="P27" s="63" t="s">
        <v>20</v>
      </c>
      <c r="Q27" s="63" t="s">
        <v>183</v>
      </c>
      <c r="R27" s="63" t="s">
        <v>184</v>
      </c>
      <c r="S27" s="63" t="s">
        <v>296</v>
      </c>
      <c r="T27" s="64" t="s">
        <v>101</v>
      </c>
      <c r="U27" s="64" t="s">
        <v>21</v>
      </c>
      <c r="V27" s="64" t="s">
        <v>159</v>
      </c>
      <c r="W27" s="64"/>
      <c r="X27" s="63" t="s">
        <v>36</v>
      </c>
      <c r="Y27" s="63" t="s">
        <v>304</v>
      </c>
      <c r="Z27" s="75" t="s">
        <v>262</v>
      </c>
      <c r="AA27" s="75"/>
      <c r="AB27" s="75"/>
      <c r="AC27" s="63">
        <v>12345678934</v>
      </c>
      <c r="AD27" s="63" t="s">
        <v>305</v>
      </c>
      <c r="AE27" s="63">
        <v>12345678964</v>
      </c>
      <c r="AF27" s="63" t="str">
        <f ca="1" t="shared" si="4"/>
        <v>在职</v>
      </c>
      <c r="AG27" s="69"/>
      <c r="AH27" s="63"/>
      <c r="AI27" s="63">
        <v>1122357</v>
      </c>
      <c r="AJ27" s="66">
        <v>43936</v>
      </c>
      <c r="AK27" s="69"/>
      <c r="AL27" s="63">
        <v>112353</v>
      </c>
      <c r="AM27" s="66">
        <v>43936</v>
      </c>
      <c r="AN27" s="69"/>
      <c r="AO27" s="63" t="s">
        <v>109</v>
      </c>
      <c r="AP27" s="63">
        <v>6000000025</v>
      </c>
      <c r="AQ27" s="77"/>
      <c r="AR27" s="77"/>
      <c r="AS27" s="77"/>
    </row>
    <row r="28" s="55" customFormat="1" ht="13" customHeight="1" spans="1:45">
      <c r="A28" s="63">
        <v>26</v>
      </c>
      <c r="B28" s="63" t="s">
        <v>306</v>
      </c>
      <c r="C28" s="63" t="s">
        <v>307</v>
      </c>
      <c r="D28" s="63" t="str">
        <f t="shared" si="0"/>
        <v>男</v>
      </c>
      <c r="E28" s="63" t="s">
        <v>50</v>
      </c>
      <c r="F28" s="64" t="s">
        <v>302</v>
      </c>
      <c r="G28" s="65">
        <v>43908</v>
      </c>
      <c r="H28" s="66">
        <v>43997</v>
      </c>
      <c r="I28" s="63">
        <v>3</v>
      </c>
      <c r="J28" s="69">
        <f t="shared" si="5"/>
        <v>45002</v>
      </c>
      <c r="K28" s="70" t="str">
        <f ca="1" t="shared" si="6"/>
        <v>还差652天到期</v>
      </c>
      <c r="L28" s="71">
        <f ca="1" t="shared" si="1"/>
        <v>1.26488706365503</v>
      </c>
      <c r="M28" s="74" t="s">
        <v>308</v>
      </c>
      <c r="N28" s="63" t="str">
        <f t="shared" si="2"/>
        <v>02月12日</v>
      </c>
      <c r="O28" s="63">
        <f ca="1" t="shared" si="3"/>
        <v>26</v>
      </c>
      <c r="P28" s="63" t="s">
        <v>20</v>
      </c>
      <c r="Q28" s="63" t="s">
        <v>193</v>
      </c>
      <c r="R28" s="63" t="s">
        <v>194</v>
      </c>
      <c r="S28" s="63" t="s">
        <v>296</v>
      </c>
      <c r="T28" s="64" t="s">
        <v>101</v>
      </c>
      <c r="U28" s="64" t="s">
        <v>21</v>
      </c>
      <c r="V28" s="64" t="s">
        <v>159</v>
      </c>
      <c r="W28" s="64"/>
      <c r="X28" s="63" t="s">
        <v>35</v>
      </c>
      <c r="Y28" s="63" t="s">
        <v>309</v>
      </c>
      <c r="Z28" s="75" t="s">
        <v>262</v>
      </c>
      <c r="AA28" s="75" t="s">
        <v>106</v>
      </c>
      <c r="AB28" s="75" t="s">
        <v>107</v>
      </c>
      <c r="AC28" s="63">
        <v>12345678935</v>
      </c>
      <c r="AD28" s="63" t="s">
        <v>310</v>
      </c>
      <c r="AE28" s="63">
        <v>12345678965</v>
      </c>
      <c r="AF28" s="63" t="str">
        <f ca="1" t="shared" si="4"/>
        <v>在职</v>
      </c>
      <c r="AG28" s="69">
        <v>44370</v>
      </c>
      <c r="AH28" s="63" t="s">
        <v>208</v>
      </c>
      <c r="AI28" s="63">
        <v>1122358</v>
      </c>
      <c r="AJ28" s="66">
        <v>43936</v>
      </c>
      <c r="AK28" s="69">
        <v>44377</v>
      </c>
      <c r="AL28" s="63">
        <v>112354</v>
      </c>
      <c r="AM28" s="66">
        <v>43936</v>
      </c>
      <c r="AN28" s="69">
        <v>44377</v>
      </c>
      <c r="AO28" s="63" t="s">
        <v>109</v>
      </c>
      <c r="AP28" s="63">
        <v>6000000026</v>
      </c>
      <c r="AQ28" s="77"/>
      <c r="AR28" s="77"/>
      <c r="AS28" s="77"/>
    </row>
    <row r="29" s="55" customFormat="1" ht="13" customHeight="1" spans="1:45">
      <c r="A29" s="63">
        <v>27</v>
      </c>
      <c r="B29" s="63" t="s">
        <v>311</v>
      </c>
      <c r="C29" s="63" t="s">
        <v>312</v>
      </c>
      <c r="D29" s="63" t="str">
        <f t="shared" si="0"/>
        <v>男</v>
      </c>
      <c r="E29" s="63" t="s">
        <v>52</v>
      </c>
      <c r="F29" s="63" t="s">
        <v>313</v>
      </c>
      <c r="G29" s="65">
        <v>43908</v>
      </c>
      <c r="H29" s="66">
        <v>43997</v>
      </c>
      <c r="I29" s="63">
        <v>3</v>
      </c>
      <c r="J29" s="69">
        <f t="shared" si="5"/>
        <v>45002</v>
      </c>
      <c r="K29" s="70" t="str">
        <f ca="1" t="shared" si="6"/>
        <v>还差652天到期</v>
      </c>
      <c r="L29" s="71">
        <f ca="1" t="shared" si="1"/>
        <v>1.210</v>
      </c>
      <c r="M29" s="74" t="s">
        <v>314</v>
      </c>
      <c r="N29" s="63" t="str">
        <f t="shared" si="2"/>
        <v>02月10日</v>
      </c>
      <c r="O29" s="63">
        <f ca="1" t="shared" si="3"/>
        <v>27</v>
      </c>
      <c r="P29" s="63" t="s">
        <v>20</v>
      </c>
      <c r="Q29" s="63" t="s">
        <v>193</v>
      </c>
      <c r="R29" s="63" t="s">
        <v>203</v>
      </c>
      <c r="S29" s="63" t="s">
        <v>296</v>
      </c>
      <c r="T29" s="64" t="s">
        <v>101</v>
      </c>
      <c r="U29" s="64" t="s">
        <v>17</v>
      </c>
      <c r="V29" s="64" t="s">
        <v>159</v>
      </c>
      <c r="W29" s="64"/>
      <c r="X29" s="64" t="s">
        <v>33</v>
      </c>
      <c r="Y29" s="63" t="s">
        <v>315</v>
      </c>
      <c r="Z29" s="75" t="s">
        <v>262</v>
      </c>
      <c r="AA29" s="75" t="s">
        <v>106</v>
      </c>
      <c r="AB29" s="75" t="s">
        <v>130</v>
      </c>
      <c r="AC29" s="63">
        <v>12345678936</v>
      </c>
      <c r="AD29" s="63" t="s">
        <v>316</v>
      </c>
      <c r="AE29" s="63">
        <v>12345678966</v>
      </c>
      <c r="AF29" s="63" t="str">
        <f ca="1" t="shared" si="4"/>
        <v>在职</v>
      </c>
      <c r="AG29" s="69"/>
      <c r="AH29" s="63"/>
      <c r="AI29" s="63">
        <v>1122359</v>
      </c>
      <c r="AJ29" s="66">
        <v>43936</v>
      </c>
      <c r="AK29" s="69"/>
      <c r="AL29" s="63">
        <v>112355</v>
      </c>
      <c r="AM29" s="66">
        <v>43936</v>
      </c>
      <c r="AN29" s="69"/>
      <c r="AO29" s="63" t="s">
        <v>109</v>
      </c>
      <c r="AP29" s="63">
        <v>6000000027</v>
      </c>
      <c r="AQ29" s="77"/>
      <c r="AR29" s="77"/>
      <c r="AS29" s="77"/>
    </row>
    <row r="30" s="55" customFormat="1" ht="13" customHeight="1" spans="1:45">
      <c r="A30" s="63">
        <v>28</v>
      </c>
      <c r="B30" s="63" t="s">
        <v>317</v>
      </c>
      <c r="C30" s="63" t="s">
        <v>318</v>
      </c>
      <c r="D30" s="63" t="str">
        <f t="shared" si="0"/>
        <v>男</v>
      </c>
      <c r="E30" s="63" t="s">
        <v>52</v>
      </c>
      <c r="F30" s="63" t="s">
        <v>319</v>
      </c>
      <c r="G30" s="65">
        <v>44001</v>
      </c>
      <c r="H30" s="66">
        <v>44089</v>
      </c>
      <c r="I30" s="63">
        <v>3</v>
      </c>
      <c r="J30" s="69">
        <f t="shared" si="5"/>
        <v>45095</v>
      </c>
      <c r="K30" s="70" t="str">
        <f ca="1" t="shared" si="6"/>
        <v>还差745天到期</v>
      </c>
      <c r="L30" s="71">
        <f ca="1" t="shared" si="1"/>
        <v>0.955509924709103</v>
      </c>
      <c r="M30" s="74" t="s">
        <v>320</v>
      </c>
      <c r="N30" s="63" t="str">
        <f t="shared" si="2"/>
        <v>08月16日</v>
      </c>
      <c r="O30" s="63">
        <f ca="1" t="shared" si="3"/>
        <v>24</v>
      </c>
      <c r="P30" s="63" t="s">
        <v>20</v>
      </c>
      <c r="Q30" s="63" t="s">
        <v>114</v>
      </c>
      <c r="R30" s="63" t="s">
        <v>213</v>
      </c>
      <c r="S30" s="63" t="s">
        <v>296</v>
      </c>
      <c r="T30" s="64" t="s">
        <v>101</v>
      </c>
      <c r="U30" s="64" t="s">
        <v>21</v>
      </c>
      <c r="V30" s="64" t="s">
        <v>159</v>
      </c>
      <c r="W30" s="64"/>
      <c r="X30" s="63" t="s">
        <v>35</v>
      </c>
      <c r="Y30" s="63" t="s">
        <v>321</v>
      </c>
      <c r="Z30" s="75" t="s">
        <v>197</v>
      </c>
      <c r="AA30" s="75" t="s">
        <v>106</v>
      </c>
      <c r="AB30" s="75" t="s">
        <v>107</v>
      </c>
      <c r="AC30" s="63">
        <v>12345678937</v>
      </c>
      <c r="AD30" s="63" t="s">
        <v>322</v>
      </c>
      <c r="AE30" s="63">
        <v>12345678967</v>
      </c>
      <c r="AF30" s="63" t="str">
        <f ca="1" t="shared" si="4"/>
        <v>在职</v>
      </c>
      <c r="AG30" s="69"/>
      <c r="AH30" s="63"/>
      <c r="AI30" s="63">
        <v>1122360</v>
      </c>
      <c r="AJ30" s="66">
        <v>44027</v>
      </c>
      <c r="AK30" s="69"/>
      <c r="AL30" s="63">
        <v>112356</v>
      </c>
      <c r="AM30" s="66">
        <v>44027</v>
      </c>
      <c r="AN30" s="69"/>
      <c r="AO30" s="63" t="s">
        <v>109</v>
      </c>
      <c r="AP30" s="63">
        <v>6000000028</v>
      </c>
      <c r="AQ30" s="77"/>
      <c r="AR30" s="77"/>
      <c r="AS30" s="77"/>
    </row>
    <row r="31" s="55" customFormat="1" ht="13" customHeight="1" spans="1:45">
      <c r="A31" s="63">
        <v>29</v>
      </c>
      <c r="B31" s="63" t="s">
        <v>323</v>
      </c>
      <c r="C31" s="63" t="s">
        <v>324</v>
      </c>
      <c r="D31" s="63" t="str">
        <f t="shared" si="0"/>
        <v>男</v>
      </c>
      <c r="E31" s="63" t="s">
        <v>52</v>
      </c>
      <c r="F31" s="63" t="s">
        <v>325</v>
      </c>
      <c r="G31" s="65">
        <v>44001</v>
      </c>
      <c r="H31" s="66">
        <v>44089</v>
      </c>
      <c r="I31" s="63">
        <v>3</v>
      </c>
      <c r="J31" s="69">
        <f t="shared" si="5"/>
        <v>45095</v>
      </c>
      <c r="K31" s="70" t="str">
        <f ca="1" t="shared" si="6"/>
        <v>还差745天到期</v>
      </c>
      <c r="L31" s="71">
        <f ca="1" t="shared" si="1"/>
        <v>0.955509924709103</v>
      </c>
      <c r="M31" s="74" t="s">
        <v>326</v>
      </c>
      <c r="N31" s="63" t="str">
        <f t="shared" si="2"/>
        <v>11月27日</v>
      </c>
      <c r="O31" s="63">
        <f ca="1" t="shared" si="3"/>
        <v>23</v>
      </c>
      <c r="P31" s="63" t="s">
        <v>20</v>
      </c>
      <c r="Q31" s="63" t="s">
        <v>114</v>
      </c>
      <c r="R31" s="63" t="s">
        <v>222</v>
      </c>
      <c r="S31" s="63" t="s">
        <v>158</v>
      </c>
      <c r="T31" s="64" t="s">
        <v>101</v>
      </c>
      <c r="U31" s="64" t="s">
        <v>21</v>
      </c>
      <c r="V31" s="64" t="s">
        <v>159</v>
      </c>
      <c r="W31" s="64"/>
      <c r="X31" s="63" t="s">
        <v>37</v>
      </c>
      <c r="Y31" s="63" t="s">
        <v>327</v>
      </c>
      <c r="Z31" s="75"/>
      <c r="AA31" s="75"/>
      <c r="AB31" s="75"/>
      <c r="AC31" s="63">
        <v>12345678938</v>
      </c>
      <c r="AD31" s="63" t="s">
        <v>328</v>
      </c>
      <c r="AE31" s="63">
        <v>12345678968</v>
      </c>
      <c r="AF31" s="63" t="str">
        <f ca="1" t="shared" si="4"/>
        <v>在职</v>
      </c>
      <c r="AG31" s="69"/>
      <c r="AH31" s="63"/>
      <c r="AI31" s="63">
        <v>1122361</v>
      </c>
      <c r="AJ31" s="66">
        <v>44027</v>
      </c>
      <c r="AK31" s="69"/>
      <c r="AL31" s="63">
        <v>112357</v>
      </c>
      <c r="AM31" s="66">
        <v>44027</v>
      </c>
      <c r="AN31" s="69"/>
      <c r="AO31" s="63" t="s">
        <v>109</v>
      </c>
      <c r="AP31" s="63">
        <v>6000000029</v>
      </c>
      <c r="AQ31" s="77"/>
      <c r="AR31" s="77"/>
      <c r="AS31" s="77"/>
    </row>
    <row r="32" s="55" customFormat="1" ht="13" customHeight="1" spans="1:45">
      <c r="A32" s="63">
        <v>30</v>
      </c>
      <c r="B32" s="63" t="s">
        <v>329</v>
      </c>
      <c r="C32" s="63" t="s">
        <v>330</v>
      </c>
      <c r="D32" s="63" t="str">
        <f t="shared" si="0"/>
        <v>女</v>
      </c>
      <c r="E32" s="63" t="s">
        <v>52</v>
      </c>
      <c r="F32" s="63" t="s">
        <v>325</v>
      </c>
      <c r="G32" s="65">
        <v>44002</v>
      </c>
      <c r="H32" s="66">
        <v>44089</v>
      </c>
      <c r="I32" s="63">
        <v>3</v>
      </c>
      <c r="J32" s="69">
        <f t="shared" si="5"/>
        <v>45096</v>
      </c>
      <c r="K32" s="70" t="str">
        <f ca="1" t="shared" si="6"/>
        <v>还差746天到期</v>
      </c>
      <c r="L32" s="71">
        <f ca="1" t="shared" si="1"/>
        <v>0.952772073921971</v>
      </c>
      <c r="M32" s="74" t="s">
        <v>331</v>
      </c>
      <c r="N32" s="63" t="str">
        <f t="shared" si="2"/>
        <v>09月20日</v>
      </c>
      <c r="O32" s="63">
        <f ca="1" t="shared" si="3"/>
        <v>26</v>
      </c>
      <c r="P32" s="63" t="s">
        <v>20</v>
      </c>
      <c r="Q32" s="63" t="s">
        <v>183</v>
      </c>
      <c r="R32" s="63" t="s">
        <v>229</v>
      </c>
      <c r="S32" s="63" t="s">
        <v>158</v>
      </c>
      <c r="T32" s="64" t="s">
        <v>272</v>
      </c>
      <c r="U32" s="64" t="s">
        <v>21</v>
      </c>
      <c r="V32" s="64" t="s">
        <v>159</v>
      </c>
      <c r="W32" s="64"/>
      <c r="X32" s="63" t="s">
        <v>35</v>
      </c>
      <c r="Y32" s="63" t="s">
        <v>332</v>
      </c>
      <c r="Z32" s="75" t="s">
        <v>333</v>
      </c>
      <c r="AA32" s="75" t="s">
        <v>106</v>
      </c>
      <c r="AB32" s="75" t="s">
        <v>107</v>
      </c>
      <c r="AC32" s="63">
        <v>12345678939</v>
      </c>
      <c r="AD32" s="63" t="s">
        <v>334</v>
      </c>
      <c r="AE32" s="63">
        <v>12345678969</v>
      </c>
      <c r="AF32" s="63" t="str">
        <f ca="1" t="shared" si="4"/>
        <v>在职</v>
      </c>
      <c r="AG32" s="69"/>
      <c r="AH32" s="63"/>
      <c r="AI32" s="63">
        <v>1122362</v>
      </c>
      <c r="AJ32" s="66">
        <v>44027</v>
      </c>
      <c r="AK32" s="69"/>
      <c r="AL32" s="63">
        <v>112358</v>
      </c>
      <c r="AM32" s="66">
        <v>44027</v>
      </c>
      <c r="AN32" s="69"/>
      <c r="AO32" s="63" t="s">
        <v>109</v>
      </c>
      <c r="AP32" s="63">
        <v>6000000030</v>
      </c>
      <c r="AQ32" s="77"/>
      <c r="AR32" s="77"/>
      <c r="AS32" s="77"/>
    </row>
    <row r="33" s="55" customFormat="1" ht="13.6" spans="10:45">
      <c r="J33" s="72"/>
      <c r="K33" s="72"/>
      <c r="L33" s="73"/>
      <c r="AG33" s="72"/>
      <c r="AK33" s="72"/>
      <c r="AN33" s="72"/>
      <c r="AQ33" s="54"/>
      <c r="AR33" s="54"/>
      <c r="AS33" s="54"/>
    </row>
    <row r="34" s="55" customFormat="1" ht="13.6" spans="10:45">
      <c r="J34" s="72"/>
      <c r="K34" s="72"/>
      <c r="L34" s="73"/>
      <c r="AG34" s="72"/>
      <c r="AK34" s="72"/>
      <c r="AN34" s="72"/>
      <c r="AQ34" s="54"/>
      <c r="AR34" s="54"/>
      <c r="AS34" s="54"/>
    </row>
    <row r="35" s="55" customFormat="1" ht="13.6" spans="10:45">
      <c r="J35" s="72"/>
      <c r="K35" s="72"/>
      <c r="L35" s="73"/>
      <c r="AG35" s="72"/>
      <c r="AK35" s="72"/>
      <c r="AN35" s="72"/>
      <c r="AQ35" s="54"/>
      <c r="AR35" s="54"/>
      <c r="AS35" s="54"/>
    </row>
    <row r="36" s="55" customFormat="1" ht="13.6" spans="10:45">
      <c r="J36" s="72"/>
      <c r="K36" s="72"/>
      <c r="L36" s="73"/>
      <c r="AG36" s="72"/>
      <c r="AK36" s="72"/>
      <c r="AN36" s="72"/>
      <c r="AQ36" s="54"/>
      <c r="AR36" s="54"/>
      <c r="AS36" s="54"/>
    </row>
    <row r="37" s="55" customFormat="1" ht="13.6" spans="10:45">
      <c r="J37" s="72"/>
      <c r="K37" s="72"/>
      <c r="L37" s="73"/>
      <c r="AG37" s="72"/>
      <c r="AK37" s="72"/>
      <c r="AN37" s="72"/>
      <c r="AQ37" s="54"/>
      <c r="AR37" s="54"/>
      <c r="AS37" s="54"/>
    </row>
    <row r="38" s="55" customFormat="1" ht="13.6" spans="10:45">
      <c r="J38" s="72"/>
      <c r="K38" s="72"/>
      <c r="L38" s="73"/>
      <c r="AG38" s="72"/>
      <c r="AK38" s="72"/>
      <c r="AN38" s="72"/>
      <c r="AQ38" s="54"/>
      <c r="AR38" s="54"/>
      <c r="AS38" s="54"/>
    </row>
    <row r="39" s="55" customFormat="1" ht="13.6" spans="10:45">
      <c r="J39" s="72"/>
      <c r="K39" s="72"/>
      <c r="L39" s="73"/>
      <c r="AG39" s="72"/>
      <c r="AK39" s="72"/>
      <c r="AN39" s="72"/>
      <c r="AQ39" s="54"/>
      <c r="AR39" s="54"/>
      <c r="AS39" s="54"/>
    </row>
    <row r="40" s="55" customFormat="1" ht="13.6" spans="10:45">
      <c r="J40" s="72"/>
      <c r="K40" s="72"/>
      <c r="L40" s="73"/>
      <c r="AG40" s="72"/>
      <c r="AK40" s="72"/>
      <c r="AN40" s="72"/>
      <c r="AQ40" s="54"/>
      <c r="AR40" s="54"/>
      <c r="AS40" s="54"/>
    </row>
    <row r="41" s="55" customFormat="1" ht="13.6" spans="10:45">
      <c r="J41" s="72"/>
      <c r="K41" s="72"/>
      <c r="L41" s="73"/>
      <c r="AG41" s="72"/>
      <c r="AK41" s="72"/>
      <c r="AN41" s="72"/>
      <c r="AQ41" s="54"/>
      <c r="AR41" s="54"/>
      <c r="AS41" s="54"/>
    </row>
  </sheetData>
  <conditionalFormatting sqref="K3">
    <cfRule type="containsText" dxfId="0" priority="1" operator="between" text="已过期">
      <formula>NOT(ISERROR(SEARCH("已过期",K3)))</formula>
    </cfRule>
  </conditionalFormatting>
  <conditionalFormatting sqref="K7">
    <cfRule type="containsText" dxfId="1" priority="342" operator="between" text="已过期">
      <formula>NOT(ISERROR(SEARCH("已过期",K7)))</formula>
    </cfRule>
    <cfRule type="cellIs" dxfId="2" priority="331" stopIfTrue="1" operator="equal">
      <formula>"还差1天到期"</formula>
    </cfRule>
    <cfRule type="containsText" dxfId="3" priority="320" operator="between" text="还差2天到期">
      <formula>NOT(ISERROR(SEARCH("还差2天到期",K7)))</formula>
    </cfRule>
    <cfRule type="containsText" dxfId="3" priority="309" operator="between" text="还差3天到期">
      <formula>NOT(ISERROR(SEARCH("还差3天到期",K7)))</formula>
    </cfRule>
    <cfRule type="containsText" dxfId="3" priority="298" operator="between" text="还差4天到期">
      <formula>NOT(ISERROR(SEARCH("还差4天到期",K7)))</formula>
    </cfRule>
    <cfRule type="containsText" dxfId="3" priority="287" operator="between" text="还差5天到期">
      <formula>NOT(ISERROR(SEARCH("还差5天到期",K7)))</formula>
    </cfRule>
    <cfRule type="containsText" dxfId="3" priority="276" operator="between" text="还差6天到期">
      <formula>NOT(ISERROR(SEARCH("还差6天到期",K7)))</formula>
    </cfRule>
    <cfRule type="containsText" dxfId="3" priority="265" operator="between" text="还差7天到期">
      <formula>NOT(ISERROR(SEARCH("还差7天到期",K7)))</formula>
    </cfRule>
    <cfRule type="containsText" dxfId="3" priority="254" operator="between" text="还差8天到期">
      <formula>NOT(ISERROR(SEARCH("还差8天到期",K7)))</formula>
    </cfRule>
    <cfRule type="containsText" dxfId="3" priority="243" operator="between" text="还差9天到期">
      <formula>NOT(ISERROR(SEARCH("还差9天到期",K7)))</formula>
    </cfRule>
    <cfRule type="containsText" dxfId="3" priority="232" operator="between" text="还差10天到期">
      <formula>NOT(ISERROR(SEARCH("还差10天到期",K7)))</formula>
    </cfRule>
    <cfRule type="containsText" dxfId="3" priority="221" operator="between" text="还差11天到期">
      <formula>NOT(ISERROR(SEARCH("还差11天到期",K7)))</formula>
    </cfRule>
    <cfRule type="containsText" dxfId="3" priority="210" operator="between" text="还差12天到期">
      <formula>NOT(ISERROR(SEARCH("还差12天到期",K7)))</formula>
    </cfRule>
    <cfRule type="containsText" dxfId="3" priority="199" operator="between" text="还差13天到期">
      <formula>NOT(ISERROR(SEARCH("还差13天到期",K7)))</formula>
    </cfRule>
    <cfRule type="containsText" dxfId="3" priority="188" operator="between" text="还差14天到期">
      <formula>NOT(ISERROR(SEARCH("还差14天到期",K7)))</formula>
    </cfRule>
    <cfRule type="containsText" dxfId="3" priority="177" operator="between" text="还差15天到期">
      <formula>NOT(ISERROR(SEARCH("还差15天到期",K7)))</formula>
    </cfRule>
    <cfRule type="containsText" dxfId="3" priority="166" operator="between" text="还差16天到期">
      <formula>NOT(ISERROR(SEARCH("还差16天到期",K7)))</formula>
    </cfRule>
    <cfRule type="containsText" dxfId="3" priority="155" operator="between" text="还差17天到期">
      <formula>NOT(ISERROR(SEARCH("还差17天到期",K7)))</formula>
    </cfRule>
    <cfRule type="containsText" dxfId="3" priority="144" operator="between" text="还差18天到期">
      <formula>NOT(ISERROR(SEARCH("还差18天到期",K7)))</formula>
    </cfRule>
    <cfRule type="containsText" dxfId="3" priority="133" operator="between" text="还差19天到期">
      <formula>NOT(ISERROR(SEARCH("还差19天到期",K7)))</formula>
    </cfRule>
    <cfRule type="containsText" dxfId="3" priority="122" operator="between" text="还差20天到期">
      <formula>NOT(ISERROR(SEARCH("还差20天到期",K7)))</formula>
    </cfRule>
    <cfRule type="containsText" dxfId="3" priority="111" operator="between" text="还差21天到期">
      <formula>NOT(ISERROR(SEARCH("还差21天到期",K7)))</formula>
    </cfRule>
    <cfRule type="containsText" dxfId="3" priority="100" operator="between" text="还差22天到期">
      <formula>NOT(ISERROR(SEARCH("还差22天到期",K7)))</formula>
    </cfRule>
    <cfRule type="containsText" dxfId="3" priority="89" operator="between" text="还差23天到期">
      <formula>NOT(ISERROR(SEARCH("还差23天到期",K7)))</formula>
    </cfRule>
    <cfRule type="containsText" dxfId="3" priority="78" operator="between" text="还差24天到期">
      <formula>NOT(ISERROR(SEARCH("还差24天到期",K7)))</formula>
    </cfRule>
    <cfRule type="containsText" dxfId="3" priority="67" operator="between" text="还差25天到期">
      <formula>NOT(ISERROR(SEARCH("还差25天到期",K7)))</formula>
    </cfRule>
    <cfRule type="containsText" dxfId="3" priority="56" operator="between" text="还差26天到期">
      <formula>NOT(ISERROR(SEARCH("还差26天到期",K7)))</formula>
    </cfRule>
    <cfRule type="containsText" dxfId="3" priority="45" operator="between" text="还差27天到期">
      <formula>NOT(ISERROR(SEARCH("还差27天到期",K7)))</formula>
    </cfRule>
    <cfRule type="containsText" dxfId="3" priority="34" operator="between" text="还差28天到期">
      <formula>NOT(ISERROR(SEARCH("还差28天到期",K7)))</formula>
    </cfRule>
    <cfRule type="containsText" dxfId="3" priority="23" operator="between" text="还差29天到期">
      <formula>NOT(ISERROR(SEARCH("还差29天到期",K7)))</formula>
    </cfRule>
    <cfRule type="containsText" dxfId="3" priority="12" operator="between" text="还差30天到期">
      <formula>NOT(ISERROR(SEARCH("还差30天到期",K7)))</formula>
    </cfRule>
  </conditionalFormatting>
  <conditionalFormatting sqref="K8">
    <cfRule type="containsText" dxfId="1" priority="341" operator="between" text="已过期">
      <formula>NOT(ISERROR(SEARCH("已过期",K8)))</formula>
    </cfRule>
    <cfRule type="cellIs" dxfId="2" priority="330" stopIfTrue="1" operator="equal">
      <formula>"还差1天到期"</formula>
    </cfRule>
    <cfRule type="containsText" dxfId="3" priority="319" operator="between" text="还差2天到期">
      <formula>NOT(ISERROR(SEARCH("还差2天到期",K8)))</formula>
    </cfRule>
    <cfRule type="containsText" dxfId="3" priority="308" operator="between" text="还差3天到期">
      <formula>NOT(ISERROR(SEARCH("还差3天到期",K8)))</formula>
    </cfRule>
    <cfRule type="containsText" dxfId="3" priority="297" operator="between" text="还差4天到期">
      <formula>NOT(ISERROR(SEARCH("还差4天到期",K8)))</formula>
    </cfRule>
    <cfRule type="containsText" dxfId="3" priority="286" operator="between" text="还差5天到期">
      <formula>NOT(ISERROR(SEARCH("还差5天到期",K8)))</formula>
    </cfRule>
    <cfRule type="containsText" dxfId="3" priority="275" operator="between" text="还差6天到期">
      <formula>NOT(ISERROR(SEARCH("还差6天到期",K8)))</formula>
    </cfRule>
    <cfRule type="containsText" dxfId="3" priority="264" operator="between" text="还差7天到期">
      <formula>NOT(ISERROR(SEARCH("还差7天到期",K8)))</formula>
    </cfRule>
    <cfRule type="containsText" dxfId="3" priority="253" operator="between" text="还差8天到期">
      <formula>NOT(ISERROR(SEARCH("还差8天到期",K8)))</formula>
    </cfRule>
    <cfRule type="containsText" dxfId="3" priority="242" operator="between" text="还差9天到期">
      <formula>NOT(ISERROR(SEARCH("还差9天到期",K8)))</formula>
    </cfRule>
    <cfRule type="containsText" dxfId="3" priority="231" operator="between" text="还差10天到期">
      <formula>NOT(ISERROR(SEARCH("还差10天到期",K8)))</formula>
    </cfRule>
    <cfRule type="containsText" dxfId="3" priority="220" operator="between" text="还差11天到期">
      <formula>NOT(ISERROR(SEARCH("还差11天到期",K8)))</formula>
    </cfRule>
    <cfRule type="containsText" dxfId="3" priority="209" operator="between" text="还差12天到期">
      <formula>NOT(ISERROR(SEARCH("还差12天到期",K8)))</formula>
    </cfRule>
    <cfRule type="containsText" dxfId="3" priority="198" operator="between" text="还差13天到期">
      <formula>NOT(ISERROR(SEARCH("还差13天到期",K8)))</formula>
    </cfRule>
    <cfRule type="containsText" dxfId="3" priority="187" operator="between" text="还差14天到期">
      <formula>NOT(ISERROR(SEARCH("还差14天到期",K8)))</formula>
    </cfRule>
    <cfRule type="containsText" dxfId="3" priority="176" operator="between" text="还差15天到期">
      <formula>NOT(ISERROR(SEARCH("还差15天到期",K8)))</formula>
    </cfRule>
    <cfRule type="containsText" dxfId="3" priority="165" operator="between" text="还差16天到期">
      <formula>NOT(ISERROR(SEARCH("还差16天到期",K8)))</formula>
    </cfRule>
    <cfRule type="containsText" dxfId="3" priority="154" operator="between" text="还差17天到期">
      <formula>NOT(ISERROR(SEARCH("还差17天到期",K8)))</formula>
    </cfRule>
    <cfRule type="containsText" dxfId="3" priority="143" operator="between" text="还差18天到期">
      <formula>NOT(ISERROR(SEARCH("还差18天到期",K8)))</formula>
    </cfRule>
    <cfRule type="containsText" dxfId="3" priority="132" operator="between" text="还差19天到期">
      <formula>NOT(ISERROR(SEARCH("还差19天到期",K8)))</formula>
    </cfRule>
    <cfRule type="containsText" dxfId="3" priority="121" operator="between" text="还差20天到期">
      <formula>NOT(ISERROR(SEARCH("还差20天到期",K8)))</formula>
    </cfRule>
    <cfRule type="containsText" dxfId="3" priority="110" operator="between" text="还差21天到期">
      <formula>NOT(ISERROR(SEARCH("还差21天到期",K8)))</formula>
    </cfRule>
    <cfRule type="containsText" dxfId="3" priority="99" operator="between" text="还差22天到期">
      <formula>NOT(ISERROR(SEARCH("还差22天到期",K8)))</formula>
    </cfRule>
    <cfRule type="containsText" dxfId="3" priority="88" operator="between" text="还差23天到期">
      <formula>NOT(ISERROR(SEARCH("还差23天到期",K8)))</formula>
    </cfRule>
    <cfRule type="containsText" dxfId="3" priority="77" operator="between" text="还差24天到期">
      <formula>NOT(ISERROR(SEARCH("还差24天到期",K8)))</formula>
    </cfRule>
    <cfRule type="containsText" dxfId="3" priority="66" operator="between" text="还差25天到期">
      <formula>NOT(ISERROR(SEARCH("还差25天到期",K8)))</formula>
    </cfRule>
    <cfRule type="containsText" dxfId="3" priority="55" operator="between" text="还差26天到期">
      <formula>NOT(ISERROR(SEARCH("还差26天到期",K8)))</formula>
    </cfRule>
    <cfRule type="containsText" dxfId="3" priority="44" operator="between" text="还差27天到期">
      <formula>NOT(ISERROR(SEARCH("还差27天到期",K8)))</formula>
    </cfRule>
    <cfRule type="containsText" dxfId="3" priority="33" operator="between" text="还差28天到期">
      <formula>NOT(ISERROR(SEARCH("还差28天到期",K8)))</formula>
    </cfRule>
    <cfRule type="containsText" dxfId="3" priority="22" operator="between" text="还差29天到期">
      <formula>NOT(ISERROR(SEARCH("还差29天到期",K8)))</formula>
    </cfRule>
    <cfRule type="containsText" dxfId="3" priority="11" operator="between" text="还差30天到期">
      <formula>NOT(ISERROR(SEARCH("还差30天到期",K8)))</formula>
    </cfRule>
  </conditionalFormatting>
  <conditionalFormatting sqref="K9">
    <cfRule type="containsText" dxfId="1" priority="340" operator="between" text="已过期">
      <formula>NOT(ISERROR(SEARCH("已过期",K9)))</formula>
    </cfRule>
    <cfRule type="cellIs" dxfId="2" priority="329" stopIfTrue="1" operator="equal">
      <formula>"还差1天到期"</formula>
    </cfRule>
    <cfRule type="containsText" dxfId="3" priority="318" operator="between" text="还差2天到期">
      <formula>NOT(ISERROR(SEARCH("还差2天到期",K9)))</formula>
    </cfRule>
    <cfRule type="containsText" dxfId="3" priority="307" operator="between" text="还差3天到期">
      <formula>NOT(ISERROR(SEARCH("还差3天到期",K9)))</formula>
    </cfRule>
    <cfRule type="containsText" dxfId="3" priority="296" operator="between" text="还差4天到期">
      <formula>NOT(ISERROR(SEARCH("还差4天到期",K9)))</formula>
    </cfRule>
    <cfRule type="containsText" dxfId="3" priority="285" operator="between" text="还差5天到期">
      <formula>NOT(ISERROR(SEARCH("还差5天到期",K9)))</formula>
    </cfRule>
    <cfRule type="containsText" dxfId="3" priority="274" operator="between" text="还差6天到期">
      <formula>NOT(ISERROR(SEARCH("还差6天到期",K9)))</formula>
    </cfRule>
    <cfRule type="containsText" dxfId="3" priority="263" operator="between" text="还差7天到期">
      <formula>NOT(ISERROR(SEARCH("还差7天到期",K9)))</formula>
    </cfRule>
    <cfRule type="containsText" dxfId="3" priority="252" operator="between" text="还差8天到期">
      <formula>NOT(ISERROR(SEARCH("还差8天到期",K9)))</formula>
    </cfRule>
    <cfRule type="containsText" dxfId="3" priority="241" operator="between" text="还差9天到期">
      <formula>NOT(ISERROR(SEARCH("还差9天到期",K9)))</formula>
    </cfRule>
    <cfRule type="containsText" dxfId="3" priority="230" operator="between" text="还差10天到期">
      <formula>NOT(ISERROR(SEARCH("还差10天到期",K9)))</formula>
    </cfRule>
    <cfRule type="containsText" dxfId="3" priority="219" operator="between" text="还差11天到期">
      <formula>NOT(ISERROR(SEARCH("还差11天到期",K9)))</formula>
    </cfRule>
    <cfRule type="containsText" dxfId="3" priority="208" operator="between" text="还差12天到期">
      <formula>NOT(ISERROR(SEARCH("还差12天到期",K9)))</formula>
    </cfRule>
    <cfRule type="containsText" dxfId="3" priority="197" operator="between" text="还差13天到期">
      <formula>NOT(ISERROR(SEARCH("还差13天到期",K9)))</formula>
    </cfRule>
    <cfRule type="containsText" dxfId="3" priority="186" operator="between" text="还差14天到期">
      <formula>NOT(ISERROR(SEARCH("还差14天到期",K9)))</formula>
    </cfRule>
    <cfRule type="containsText" dxfId="3" priority="175" operator="between" text="还差15天到期">
      <formula>NOT(ISERROR(SEARCH("还差15天到期",K9)))</formula>
    </cfRule>
    <cfRule type="containsText" dxfId="3" priority="164" operator="between" text="还差16天到期">
      <formula>NOT(ISERROR(SEARCH("还差16天到期",K9)))</formula>
    </cfRule>
    <cfRule type="containsText" dxfId="3" priority="153" operator="between" text="还差17天到期">
      <formula>NOT(ISERROR(SEARCH("还差17天到期",K9)))</formula>
    </cfRule>
    <cfRule type="containsText" dxfId="3" priority="142" operator="between" text="还差18天到期">
      <formula>NOT(ISERROR(SEARCH("还差18天到期",K9)))</formula>
    </cfRule>
    <cfRule type="containsText" dxfId="3" priority="131" operator="between" text="还差19天到期">
      <formula>NOT(ISERROR(SEARCH("还差19天到期",K9)))</formula>
    </cfRule>
    <cfRule type="containsText" dxfId="3" priority="120" operator="between" text="还差20天到期">
      <formula>NOT(ISERROR(SEARCH("还差20天到期",K9)))</formula>
    </cfRule>
    <cfRule type="containsText" dxfId="3" priority="109" operator="between" text="还差21天到期">
      <formula>NOT(ISERROR(SEARCH("还差21天到期",K9)))</formula>
    </cfRule>
    <cfRule type="containsText" dxfId="3" priority="98" operator="between" text="还差22天到期">
      <formula>NOT(ISERROR(SEARCH("还差22天到期",K9)))</formula>
    </cfRule>
    <cfRule type="containsText" dxfId="3" priority="87" operator="between" text="还差23天到期">
      <formula>NOT(ISERROR(SEARCH("还差23天到期",K9)))</formula>
    </cfRule>
    <cfRule type="containsText" dxfId="3" priority="76" operator="between" text="还差24天到期">
      <formula>NOT(ISERROR(SEARCH("还差24天到期",K9)))</formula>
    </cfRule>
    <cfRule type="containsText" dxfId="3" priority="65" operator="between" text="还差25天到期">
      <formula>NOT(ISERROR(SEARCH("还差25天到期",K9)))</formula>
    </cfRule>
    <cfRule type="containsText" dxfId="3" priority="54" operator="between" text="还差26天到期">
      <formula>NOT(ISERROR(SEARCH("还差26天到期",K9)))</formula>
    </cfRule>
    <cfRule type="containsText" dxfId="3" priority="43" operator="between" text="还差27天到期">
      <formula>NOT(ISERROR(SEARCH("还差27天到期",K9)))</formula>
    </cfRule>
    <cfRule type="containsText" dxfId="3" priority="32" operator="between" text="还差28天到期">
      <formula>NOT(ISERROR(SEARCH("还差28天到期",K9)))</formula>
    </cfRule>
    <cfRule type="containsText" dxfId="3" priority="21" operator="between" text="还差29天到期">
      <formula>NOT(ISERROR(SEARCH("还差29天到期",K9)))</formula>
    </cfRule>
    <cfRule type="containsText" dxfId="3" priority="10" operator="between" text="还差30天到期">
      <formula>NOT(ISERROR(SEARCH("还差30天到期",K9)))</formula>
    </cfRule>
  </conditionalFormatting>
  <conditionalFormatting sqref="K10">
    <cfRule type="containsText" dxfId="1" priority="339" operator="between" text="已过期">
      <formula>NOT(ISERROR(SEARCH("已过期",K10)))</formula>
    </cfRule>
    <cfRule type="cellIs" dxfId="2" priority="328" stopIfTrue="1" operator="equal">
      <formula>"还差1天到期"</formula>
    </cfRule>
    <cfRule type="containsText" dxfId="3" priority="317" operator="between" text="还差2天到期">
      <formula>NOT(ISERROR(SEARCH("还差2天到期",K10)))</formula>
    </cfRule>
    <cfRule type="containsText" dxfId="3" priority="306" operator="between" text="还差3天到期">
      <formula>NOT(ISERROR(SEARCH("还差3天到期",K10)))</formula>
    </cfRule>
    <cfRule type="containsText" dxfId="3" priority="295" operator="between" text="还差4天到期">
      <formula>NOT(ISERROR(SEARCH("还差4天到期",K10)))</formula>
    </cfRule>
    <cfRule type="containsText" dxfId="3" priority="284" operator="between" text="还差5天到期">
      <formula>NOT(ISERROR(SEARCH("还差5天到期",K10)))</formula>
    </cfRule>
    <cfRule type="containsText" dxfId="3" priority="273" operator="between" text="还差6天到期">
      <formula>NOT(ISERROR(SEARCH("还差6天到期",K10)))</formula>
    </cfRule>
    <cfRule type="containsText" dxfId="3" priority="262" operator="between" text="还差7天到期">
      <formula>NOT(ISERROR(SEARCH("还差7天到期",K10)))</formula>
    </cfRule>
    <cfRule type="containsText" dxfId="3" priority="251" operator="between" text="还差8天到期">
      <formula>NOT(ISERROR(SEARCH("还差8天到期",K10)))</formula>
    </cfRule>
    <cfRule type="containsText" dxfId="3" priority="240" operator="between" text="还差9天到期">
      <formula>NOT(ISERROR(SEARCH("还差9天到期",K10)))</formula>
    </cfRule>
    <cfRule type="containsText" dxfId="3" priority="229" operator="between" text="还差10天到期">
      <formula>NOT(ISERROR(SEARCH("还差10天到期",K10)))</formula>
    </cfRule>
    <cfRule type="containsText" dxfId="3" priority="218" operator="between" text="还差11天到期">
      <formula>NOT(ISERROR(SEARCH("还差11天到期",K10)))</formula>
    </cfRule>
    <cfRule type="containsText" dxfId="3" priority="207" operator="between" text="还差12天到期">
      <formula>NOT(ISERROR(SEARCH("还差12天到期",K10)))</formula>
    </cfRule>
    <cfRule type="containsText" dxfId="3" priority="196" operator="between" text="还差13天到期">
      <formula>NOT(ISERROR(SEARCH("还差13天到期",K10)))</formula>
    </cfRule>
    <cfRule type="containsText" dxfId="3" priority="185" operator="between" text="还差14天到期">
      <formula>NOT(ISERROR(SEARCH("还差14天到期",K10)))</formula>
    </cfRule>
    <cfRule type="containsText" dxfId="3" priority="174" operator="between" text="还差15天到期">
      <formula>NOT(ISERROR(SEARCH("还差15天到期",K10)))</formula>
    </cfRule>
    <cfRule type="containsText" dxfId="3" priority="163" operator="between" text="还差16天到期">
      <formula>NOT(ISERROR(SEARCH("还差16天到期",K10)))</formula>
    </cfRule>
    <cfRule type="containsText" dxfId="3" priority="152" operator="between" text="还差17天到期">
      <formula>NOT(ISERROR(SEARCH("还差17天到期",K10)))</formula>
    </cfRule>
    <cfRule type="containsText" dxfId="3" priority="141" operator="between" text="还差18天到期">
      <formula>NOT(ISERROR(SEARCH("还差18天到期",K10)))</formula>
    </cfRule>
    <cfRule type="containsText" dxfId="3" priority="130" operator="between" text="还差19天到期">
      <formula>NOT(ISERROR(SEARCH("还差19天到期",K10)))</formula>
    </cfRule>
    <cfRule type="containsText" dxfId="3" priority="119" operator="between" text="还差20天到期">
      <formula>NOT(ISERROR(SEARCH("还差20天到期",K10)))</formula>
    </cfRule>
    <cfRule type="containsText" dxfId="3" priority="108" operator="between" text="还差21天到期">
      <formula>NOT(ISERROR(SEARCH("还差21天到期",K10)))</formula>
    </cfRule>
    <cfRule type="containsText" dxfId="3" priority="97" operator="between" text="还差22天到期">
      <formula>NOT(ISERROR(SEARCH("还差22天到期",K10)))</formula>
    </cfRule>
    <cfRule type="containsText" dxfId="3" priority="86" operator="between" text="还差23天到期">
      <formula>NOT(ISERROR(SEARCH("还差23天到期",K10)))</formula>
    </cfRule>
    <cfRule type="containsText" dxfId="3" priority="75" operator="between" text="还差24天到期">
      <formula>NOT(ISERROR(SEARCH("还差24天到期",K10)))</formula>
    </cfRule>
    <cfRule type="containsText" dxfId="3" priority="64" operator="between" text="还差25天到期">
      <formula>NOT(ISERROR(SEARCH("还差25天到期",K10)))</formula>
    </cfRule>
    <cfRule type="containsText" dxfId="3" priority="53" operator="between" text="还差26天到期">
      <formula>NOT(ISERROR(SEARCH("还差26天到期",K10)))</formula>
    </cfRule>
    <cfRule type="containsText" dxfId="3" priority="42" operator="between" text="还差27天到期">
      <formula>NOT(ISERROR(SEARCH("还差27天到期",K10)))</formula>
    </cfRule>
    <cfRule type="containsText" dxfId="3" priority="31" operator="between" text="还差28天到期">
      <formula>NOT(ISERROR(SEARCH("还差28天到期",K10)))</formula>
    </cfRule>
    <cfRule type="containsText" dxfId="3" priority="20" operator="between" text="还差29天到期">
      <formula>NOT(ISERROR(SEARCH("还差29天到期",K10)))</formula>
    </cfRule>
    <cfRule type="containsText" dxfId="3" priority="9" operator="between" text="还差30天到期">
      <formula>NOT(ISERROR(SEARCH("还差30天到期",K10)))</formula>
    </cfRule>
  </conditionalFormatting>
  <conditionalFormatting sqref="K11">
    <cfRule type="containsText" dxfId="1" priority="338" operator="between" text="已过期">
      <formula>NOT(ISERROR(SEARCH("已过期",K11)))</formula>
    </cfRule>
    <cfRule type="cellIs" dxfId="2" priority="327" stopIfTrue="1" operator="equal">
      <formula>"还差1天到期"</formula>
    </cfRule>
    <cfRule type="containsText" dxfId="3" priority="316" operator="between" text="还差2天到期">
      <formula>NOT(ISERROR(SEARCH("还差2天到期",K11)))</formula>
    </cfRule>
    <cfRule type="containsText" dxfId="3" priority="305" operator="between" text="还差3天到期">
      <formula>NOT(ISERROR(SEARCH("还差3天到期",K11)))</formula>
    </cfRule>
    <cfRule type="containsText" dxfId="3" priority="294" operator="between" text="还差4天到期">
      <formula>NOT(ISERROR(SEARCH("还差4天到期",K11)))</formula>
    </cfRule>
    <cfRule type="containsText" dxfId="3" priority="283" operator="between" text="还差5天到期">
      <formula>NOT(ISERROR(SEARCH("还差5天到期",K11)))</formula>
    </cfRule>
    <cfRule type="containsText" dxfId="3" priority="272" operator="between" text="还差6天到期">
      <formula>NOT(ISERROR(SEARCH("还差6天到期",K11)))</formula>
    </cfRule>
    <cfRule type="containsText" dxfId="3" priority="261" operator="between" text="还差7天到期">
      <formula>NOT(ISERROR(SEARCH("还差7天到期",K11)))</formula>
    </cfRule>
    <cfRule type="containsText" dxfId="3" priority="250" operator="between" text="还差8天到期">
      <formula>NOT(ISERROR(SEARCH("还差8天到期",K11)))</formula>
    </cfRule>
    <cfRule type="containsText" dxfId="3" priority="239" operator="between" text="还差9天到期">
      <formula>NOT(ISERROR(SEARCH("还差9天到期",K11)))</formula>
    </cfRule>
    <cfRule type="containsText" dxfId="3" priority="228" operator="between" text="还差10天到期">
      <formula>NOT(ISERROR(SEARCH("还差10天到期",K11)))</formula>
    </cfRule>
    <cfRule type="containsText" dxfId="3" priority="217" operator="between" text="还差11天到期">
      <formula>NOT(ISERROR(SEARCH("还差11天到期",K11)))</formula>
    </cfRule>
    <cfRule type="containsText" dxfId="3" priority="206" operator="between" text="还差12天到期">
      <formula>NOT(ISERROR(SEARCH("还差12天到期",K11)))</formula>
    </cfRule>
    <cfRule type="containsText" dxfId="3" priority="195" operator="between" text="还差13天到期">
      <formula>NOT(ISERROR(SEARCH("还差13天到期",K11)))</formula>
    </cfRule>
    <cfRule type="containsText" dxfId="3" priority="184" operator="between" text="还差14天到期">
      <formula>NOT(ISERROR(SEARCH("还差14天到期",K11)))</formula>
    </cfRule>
    <cfRule type="containsText" dxfId="3" priority="173" operator="between" text="还差15天到期">
      <formula>NOT(ISERROR(SEARCH("还差15天到期",K11)))</formula>
    </cfRule>
    <cfRule type="containsText" dxfId="3" priority="162" operator="between" text="还差16天到期">
      <formula>NOT(ISERROR(SEARCH("还差16天到期",K11)))</formula>
    </cfRule>
    <cfRule type="containsText" dxfId="3" priority="151" operator="between" text="还差17天到期">
      <formula>NOT(ISERROR(SEARCH("还差17天到期",K11)))</formula>
    </cfRule>
    <cfRule type="containsText" dxfId="3" priority="140" operator="between" text="还差18天到期">
      <formula>NOT(ISERROR(SEARCH("还差18天到期",K11)))</formula>
    </cfRule>
    <cfRule type="containsText" dxfId="3" priority="129" operator="between" text="还差19天到期">
      <formula>NOT(ISERROR(SEARCH("还差19天到期",K11)))</formula>
    </cfRule>
    <cfRule type="containsText" dxfId="3" priority="118" operator="between" text="还差20天到期">
      <formula>NOT(ISERROR(SEARCH("还差20天到期",K11)))</formula>
    </cfRule>
    <cfRule type="containsText" dxfId="3" priority="107" operator="between" text="还差21天到期">
      <formula>NOT(ISERROR(SEARCH("还差21天到期",K11)))</formula>
    </cfRule>
    <cfRule type="containsText" dxfId="3" priority="96" operator="between" text="还差22天到期">
      <formula>NOT(ISERROR(SEARCH("还差22天到期",K11)))</formula>
    </cfRule>
    <cfRule type="containsText" dxfId="3" priority="85" operator="between" text="还差23天到期">
      <formula>NOT(ISERROR(SEARCH("还差23天到期",K11)))</formula>
    </cfRule>
    <cfRule type="containsText" dxfId="3" priority="74" operator="between" text="还差24天到期">
      <formula>NOT(ISERROR(SEARCH("还差24天到期",K11)))</formula>
    </cfRule>
    <cfRule type="containsText" dxfId="3" priority="63" operator="between" text="还差25天到期">
      <formula>NOT(ISERROR(SEARCH("还差25天到期",K11)))</formula>
    </cfRule>
    <cfRule type="containsText" dxfId="3" priority="52" operator="between" text="还差26天到期">
      <formula>NOT(ISERROR(SEARCH("还差26天到期",K11)))</formula>
    </cfRule>
    <cfRule type="containsText" dxfId="3" priority="41" operator="between" text="还差27天到期">
      <formula>NOT(ISERROR(SEARCH("还差27天到期",K11)))</formula>
    </cfRule>
    <cfRule type="containsText" dxfId="3" priority="30" operator="between" text="还差28天到期">
      <formula>NOT(ISERROR(SEARCH("还差28天到期",K11)))</formula>
    </cfRule>
    <cfRule type="containsText" dxfId="3" priority="19" operator="between" text="还差29天到期">
      <formula>NOT(ISERROR(SEARCH("还差29天到期",K11)))</formula>
    </cfRule>
    <cfRule type="containsText" dxfId="3" priority="8" operator="between" text="还差30天到期">
      <formula>NOT(ISERROR(SEARCH("还差30天到期",K11)))</formula>
    </cfRule>
  </conditionalFormatting>
  <conditionalFormatting sqref="K12">
    <cfRule type="containsText" dxfId="1" priority="337" operator="between" text="已过期">
      <formula>NOT(ISERROR(SEARCH("已过期",K12)))</formula>
    </cfRule>
    <cfRule type="cellIs" dxfId="2" priority="326" stopIfTrue="1" operator="equal">
      <formula>"还差1天到期"</formula>
    </cfRule>
    <cfRule type="containsText" dxfId="3" priority="315" operator="between" text="还差2天到期">
      <formula>NOT(ISERROR(SEARCH("还差2天到期",K12)))</formula>
    </cfRule>
    <cfRule type="containsText" dxfId="3" priority="304" operator="between" text="还差3天到期">
      <formula>NOT(ISERROR(SEARCH("还差3天到期",K12)))</formula>
    </cfRule>
    <cfRule type="containsText" dxfId="3" priority="293" operator="between" text="还差4天到期">
      <formula>NOT(ISERROR(SEARCH("还差4天到期",K12)))</formula>
    </cfRule>
    <cfRule type="containsText" dxfId="3" priority="282" operator="between" text="还差5天到期">
      <formula>NOT(ISERROR(SEARCH("还差5天到期",K12)))</formula>
    </cfRule>
    <cfRule type="containsText" dxfId="3" priority="271" operator="between" text="还差6天到期">
      <formula>NOT(ISERROR(SEARCH("还差6天到期",K12)))</formula>
    </cfRule>
    <cfRule type="containsText" dxfId="3" priority="260" operator="between" text="还差7天到期">
      <formula>NOT(ISERROR(SEARCH("还差7天到期",K12)))</formula>
    </cfRule>
    <cfRule type="containsText" dxfId="3" priority="249" operator="between" text="还差8天到期">
      <formula>NOT(ISERROR(SEARCH("还差8天到期",K12)))</formula>
    </cfRule>
    <cfRule type="containsText" dxfId="3" priority="238" operator="between" text="还差9天到期">
      <formula>NOT(ISERROR(SEARCH("还差9天到期",K12)))</formula>
    </cfRule>
    <cfRule type="containsText" dxfId="3" priority="227" operator="between" text="还差10天到期">
      <formula>NOT(ISERROR(SEARCH("还差10天到期",K12)))</formula>
    </cfRule>
    <cfRule type="containsText" dxfId="3" priority="216" operator="between" text="还差11天到期">
      <formula>NOT(ISERROR(SEARCH("还差11天到期",K12)))</formula>
    </cfRule>
    <cfRule type="containsText" dxfId="3" priority="205" operator="between" text="还差12天到期">
      <formula>NOT(ISERROR(SEARCH("还差12天到期",K12)))</formula>
    </cfRule>
    <cfRule type="containsText" dxfId="3" priority="194" operator="between" text="还差13天到期">
      <formula>NOT(ISERROR(SEARCH("还差13天到期",K12)))</formula>
    </cfRule>
    <cfRule type="containsText" dxfId="3" priority="183" operator="between" text="还差14天到期">
      <formula>NOT(ISERROR(SEARCH("还差14天到期",K12)))</formula>
    </cfRule>
    <cfRule type="containsText" dxfId="3" priority="172" operator="between" text="还差15天到期">
      <formula>NOT(ISERROR(SEARCH("还差15天到期",K12)))</formula>
    </cfRule>
    <cfRule type="containsText" dxfId="3" priority="161" operator="between" text="还差16天到期">
      <formula>NOT(ISERROR(SEARCH("还差16天到期",K12)))</formula>
    </cfRule>
    <cfRule type="containsText" dxfId="3" priority="150" operator="between" text="还差17天到期">
      <formula>NOT(ISERROR(SEARCH("还差17天到期",K12)))</formula>
    </cfRule>
    <cfRule type="containsText" dxfId="3" priority="139" operator="between" text="还差18天到期">
      <formula>NOT(ISERROR(SEARCH("还差18天到期",K12)))</formula>
    </cfRule>
    <cfRule type="containsText" dxfId="3" priority="128" operator="between" text="还差19天到期">
      <formula>NOT(ISERROR(SEARCH("还差19天到期",K12)))</formula>
    </cfRule>
    <cfRule type="containsText" dxfId="3" priority="117" operator="between" text="还差20天到期">
      <formula>NOT(ISERROR(SEARCH("还差20天到期",K12)))</formula>
    </cfRule>
    <cfRule type="containsText" dxfId="3" priority="106" operator="between" text="还差21天到期">
      <formula>NOT(ISERROR(SEARCH("还差21天到期",K12)))</formula>
    </cfRule>
    <cfRule type="containsText" dxfId="3" priority="95" operator="between" text="还差22天到期">
      <formula>NOT(ISERROR(SEARCH("还差22天到期",K12)))</formula>
    </cfRule>
    <cfRule type="containsText" dxfId="3" priority="84" operator="between" text="还差23天到期">
      <formula>NOT(ISERROR(SEARCH("还差23天到期",K12)))</formula>
    </cfRule>
    <cfRule type="containsText" dxfId="3" priority="73" operator="between" text="还差24天到期">
      <formula>NOT(ISERROR(SEARCH("还差24天到期",K12)))</formula>
    </cfRule>
    <cfRule type="containsText" dxfId="3" priority="62" operator="between" text="还差25天到期">
      <formula>NOT(ISERROR(SEARCH("还差25天到期",K12)))</formula>
    </cfRule>
    <cfRule type="containsText" dxfId="3" priority="51" operator="between" text="还差26天到期">
      <formula>NOT(ISERROR(SEARCH("还差26天到期",K12)))</formula>
    </cfRule>
    <cfRule type="containsText" dxfId="3" priority="40" operator="between" text="还差27天到期">
      <formula>NOT(ISERROR(SEARCH("还差27天到期",K12)))</formula>
    </cfRule>
    <cfRule type="containsText" dxfId="3" priority="29" operator="between" text="还差28天到期">
      <formula>NOT(ISERROR(SEARCH("还差28天到期",K12)))</formula>
    </cfRule>
    <cfRule type="containsText" dxfId="3" priority="18" operator="between" text="还差29天到期">
      <formula>NOT(ISERROR(SEARCH("还差29天到期",K12)))</formula>
    </cfRule>
    <cfRule type="containsText" dxfId="3" priority="7" operator="between" text="还差30天到期">
      <formula>NOT(ISERROR(SEARCH("还差30天到期",K12)))</formula>
    </cfRule>
  </conditionalFormatting>
  <conditionalFormatting sqref="K13">
    <cfRule type="containsText" dxfId="1" priority="336" operator="between" text="已过期">
      <formula>NOT(ISERROR(SEARCH("已过期",K13)))</formula>
    </cfRule>
    <cfRule type="cellIs" dxfId="2" priority="325" stopIfTrue="1" operator="equal">
      <formula>"还差1天到期"</formula>
    </cfRule>
    <cfRule type="containsText" dxfId="3" priority="314" operator="between" text="还差2天到期">
      <formula>NOT(ISERROR(SEARCH("还差2天到期",K13)))</formula>
    </cfRule>
    <cfRule type="containsText" dxfId="3" priority="303" operator="between" text="还差3天到期">
      <formula>NOT(ISERROR(SEARCH("还差3天到期",K13)))</formula>
    </cfRule>
    <cfRule type="containsText" dxfId="3" priority="292" operator="between" text="还差4天到期">
      <formula>NOT(ISERROR(SEARCH("还差4天到期",K13)))</formula>
    </cfRule>
    <cfRule type="containsText" dxfId="3" priority="281" operator="between" text="还差5天到期">
      <formula>NOT(ISERROR(SEARCH("还差5天到期",K13)))</formula>
    </cfRule>
    <cfRule type="containsText" dxfId="3" priority="270" operator="between" text="还差6天到期">
      <formula>NOT(ISERROR(SEARCH("还差6天到期",K13)))</formula>
    </cfRule>
    <cfRule type="containsText" dxfId="3" priority="259" operator="between" text="还差7天到期">
      <formula>NOT(ISERROR(SEARCH("还差7天到期",K13)))</formula>
    </cfRule>
    <cfRule type="containsText" dxfId="3" priority="248" operator="between" text="还差8天到期">
      <formula>NOT(ISERROR(SEARCH("还差8天到期",K13)))</formula>
    </cfRule>
    <cfRule type="containsText" dxfId="3" priority="237" operator="between" text="还差9天到期">
      <formula>NOT(ISERROR(SEARCH("还差9天到期",K13)))</formula>
    </cfRule>
    <cfRule type="containsText" dxfId="3" priority="226" operator="between" text="还差10天到期">
      <formula>NOT(ISERROR(SEARCH("还差10天到期",K13)))</formula>
    </cfRule>
    <cfRule type="containsText" dxfId="3" priority="215" operator="between" text="还差11天到期">
      <formula>NOT(ISERROR(SEARCH("还差11天到期",K13)))</formula>
    </cfRule>
    <cfRule type="containsText" dxfId="3" priority="204" operator="between" text="还差12天到期">
      <formula>NOT(ISERROR(SEARCH("还差12天到期",K13)))</formula>
    </cfRule>
    <cfRule type="containsText" dxfId="3" priority="193" operator="between" text="还差13天到期">
      <formula>NOT(ISERROR(SEARCH("还差13天到期",K13)))</formula>
    </cfRule>
    <cfRule type="containsText" dxfId="3" priority="182" operator="between" text="还差14天到期">
      <formula>NOT(ISERROR(SEARCH("还差14天到期",K13)))</formula>
    </cfRule>
    <cfRule type="containsText" dxfId="3" priority="171" operator="between" text="还差15天到期">
      <formula>NOT(ISERROR(SEARCH("还差15天到期",K13)))</formula>
    </cfRule>
    <cfRule type="containsText" dxfId="3" priority="160" operator="between" text="还差16天到期">
      <formula>NOT(ISERROR(SEARCH("还差16天到期",K13)))</formula>
    </cfRule>
    <cfRule type="containsText" dxfId="3" priority="149" operator="between" text="还差17天到期">
      <formula>NOT(ISERROR(SEARCH("还差17天到期",K13)))</formula>
    </cfRule>
    <cfRule type="containsText" dxfId="3" priority="138" operator="between" text="还差18天到期">
      <formula>NOT(ISERROR(SEARCH("还差18天到期",K13)))</formula>
    </cfRule>
    <cfRule type="containsText" dxfId="3" priority="127" operator="between" text="还差19天到期">
      <formula>NOT(ISERROR(SEARCH("还差19天到期",K13)))</formula>
    </cfRule>
    <cfRule type="containsText" dxfId="3" priority="116" operator="between" text="还差20天到期">
      <formula>NOT(ISERROR(SEARCH("还差20天到期",K13)))</formula>
    </cfRule>
    <cfRule type="containsText" dxfId="3" priority="105" operator="between" text="还差21天到期">
      <formula>NOT(ISERROR(SEARCH("还差21天到期",K13)))</formula>
    </cfRule>
    <cfRule type="containsText" dxfId="3" priority="94" operator="between" text="还差22天到期">
      <formula>NOT(ISERROR(SEARCH("还差22天到期",K13)))</formula>
    </cfRule>
    <cfRule type="containsText" dxfId="3" priority="83" operator="between" text="还差23天到期">
      <formula>NOT(ISERROR(SEARCH("还差23天到期",K13)))</formula>
    </cfRule>
    <cfRule type="containsText" dxfId="3" priority="72" operator="between" text="还差24天到期">
      <formula>NOT(ISERROR(SEARCH("还差24天到期",K13)))</formula>
    </cfRule>
    <cfRule type="containsText" dxfId="3" priority="61" operator="between" text="还差25天到期">
      <formula>NOT(ISERROR(SEARCH("还差25天到期",K13)))</formula>
    </cfRule>
    <cfRule type="containsText" dxfId="3" priority="50" operator="between" text="还差26天到期">
      <formula>NOT(ISERROR(SEARCH("还差26天到期",K13)))</formula>
    </cfRule>
    <cfRule type="containsText" dxfId="3" priority="39" operator="between" text="还差27天到期">
      <formula>NOT(ISERROR(SEARCH("还差27天到期",K13)))</formula>
    </cfRule>
    <cfRule type="containsText" dxfId="3" priority="28" operator="between" text="还差28天到期">
      <formula>NOT(ISERROR(SEARCH("还差28天到期",K13)))</formula>
    </cfRule>
    <cfRule type="containsText" dxfId="3" priority="17" operator="between" text="还差29天到期">
      <formula>NOT(ISERROR(SEARCH("还差29天到期",K13)))</formula>
    </cfRule>
    <cfRule type="containsText" dxfId="3" priority="6" operator="between" text="还差30天到期">
      <formula>NOT(ISERROR(SEARCH("还差30天到期",K13)))</formula>
    </cfRule>
  </conditionalFormatting>
  <conditionalFormatting sqref="K14">
    <cfRule type="containsText" dxfId="1" priority="335" operator="between" text="已过期">
      <formula>NOT(ISERROR(SEARCH("已过期",K14)))</formula>
    </cfRule>
    <cfRule type="cellIs" dxfId="2" priority="324" stopIfTrue="1" operator="equal">
      <formula>"还差1天到期"</formula>
    </cfRule>
    <cfRule type="containsText" dxfId="3" priority="313" operator="between" text="还差2天到期">
      <formula>NOT(ISERROR(SEARCH("还差2天到期",K14)))</formula>
    </cfRule>
    <cfRule type="containsText" dxfId="3" priority="302" operator="between" text="还差3天到期">
      <formula>NOT(ISERROR(SEARCH("还差3天到期",K14)))</formula>
    </cfRule>
    <cfRule type="containsText" dxfId="3" priority="291" operator="between" text="还差4天到期">
      <formula>NOT(ISERROR(SEARCH("还差4天到期",K14)))</formula>
    </cfRule>
    <cfRule type="containsText" dxfId="3" priority="280" operator="between" text="还差5天到期">
      <formula>NOT(ISERROR(SEARCH("还差5天到期",K14)))</formula>
    </cfRule>
    <cfRule type="containsText" dxfId="3" priority="269" operator="between" text="还差6天到期">
      <formula>NOT(ISERROR(SEARCH("还差6天到期",K14)))</formula>
    </cfRule>
    <cfRule type="containsText" dxfId="3" priority="258" operator="between" text="还差7天到期">
      <formula>NOT(ISERROR(SEARCH("还差7天到期",K14)))</formula>
    </cfRule>
    <cfRule type="containsText" dxfId="3" priority="247" operator="between" text="还差8天到期">
      <formula>NOT(ISERROR(SEARCH("还差8天到期",K14)))</formula>
    </cfRule>
    <cfRule type="containsText" dxfId="3" priority="236" operator="between" text="还差9天到期">
      <formula>NOT(ISERROR(SEARCH("还差9天到期",K14)))</formula>
    </cfRule>
    <cfRule type="containsText" dxfId="3" priority="225" operator="between" text="还差10天到期">
      <formula>NOT(ISERROR(SEARCH("还差10天到期",K14)))</formula>
    </cfRule>
    <cfRule type="containsText" dxfId="3" priority="214" operator="between" text="还差11天到期">
      <formula>NOT(ISERROR(SEARCH("还差11天到期",K14)))</formula>
    </cfRule>
    <cfRule type="containsText" dxfId="3" priority="203" operator="between" text="还差12天到期">
      <formula>NOT(ISERROR(SEARCH("还差12天到期",K14)))</formula>
    </cfRule>
    <cfRule type="containsText" dxfId="3" priority="192" operator="between" text="还差13天到期">
      <formula>NOT(ISERROR(SEARCH("还差13天到期",K14)))</formula>
    </cfRule>
    <cfRule type="containsText" dxfId="3" priority="181" operator="between" text="还差14天到期">
      <formula>NOT(ISERROR(SEARCH("还差14天到期",K14)))</formula>
    </cfRule>
    <cfRule type="containsText" dxfId="3" priority="170" operator="between" text="还差15天到期">
      <formula>NOT(ISERROR(SEARCH("还差15天到期",K14)))</formula>
    </cfRule>
    <cfRule type="containsText" dxfId="3" priority="159" operator="between" text="还差16天到期">
      <formula>NOT(ISERROR(SEARCH("还差16天到期",K14)))</formula>
    </cfRule>
    <cfRule type="containsText" dxfId="3" priority="148" operator="between" text="还差17天到期">
      <formula>NOT(ISERROR(SEARCH("还差17天到期",K14)))</formula>
    </cfRule>
    <cfRule type="containsText" dxfId="3" priority="137" operator="between" text="还差18天到期">
      <formula>NOT(ISERROR(SEARCH("还差18天到期",K14)))</formula>
    </cfRule>
    <cfRule type="containsText" dxfId="3" priority="126" operator="between" text="还差19天到期">
      <formula>NOT(ISERROR(SEARCH("还差19天到期",K14)))</formula>
    </cfRule>
    <cfRule type="containsText" dxfId="3" priority="115" operator="between" text="还差20天到期">
      <formula>NOT(ISERROR(SEARCH("还差20天到期",K14)))</formula>
    </cfRule>
    <cfRule type="containsText" dxfId="3" priority="104" operator="between" text="还差21天到期">
      <formula>NOT(ISERROR(SEARCH("还差21天到期",K14)))</formula>
    </cfRule>
    <cfRule type="containsText" dxfId="3" priority="93" operator="between" text="还差22天到期">
      <formula>NOT(ISERROR(SEARCH("还差22天到期",K14)))</formula>
    </cfRule>
    <cfRule type="containsText" dxfId="3" priority="82" operator="between" text="还差23天到期">
      <formula>NOT(ISERROR(SEARCH("还差23天到期",K14)))</formula>
    </cfRule>
    <cfRule type="containsText" dxfId="3" priority="71" operator="between" text="还差24天到期">
      <formula>NOT(ISERROR(SEARCH("还差24天到期",K14)))</formula>
    </cfRule>
    <cfRule type="containsText" dxfId="3" priority="60" operator="between" text="还差25天到期">
      <formula>NOT(ISERROR(SEARCH("还差25天到期",K14)))</formula>
    </cfRule>
    <cfRule type="containsText" dxfId="3" priority="49" operator="between" text="还差26天到期">
      <formula>NOT(ISERROR(SEARCH("还差26天到期",K14)))</formula>
    </cfRule>
    <cfRule type="containsText" dxfId="3" priority="38" operator="between" text="还差27天到期">
      <formula>NOT(ISERROR(SEARCH("还差27天到期",K14)))</formula>
    </cfRule>
    <cfRule type="containsText" dxfId="3" priority="27" operator="between" text="还差28天到期">
      <formula>NOT(ISERROR(SEARCH("还差28天到期",K14)))</formula>
    </cfRule>
    <cfRule type="containsText" dxfId="3" priority="16" operator="between" text="还差29天到期">
      <formula>NOT(ISERROR(SEARCH("还差29天到期",K14)))</formula>
    </cfRule>
    <cfRule type="containsText" dxfId="3" priority="5" operator="between" text="还差30天到期">
      <formula>NOT(ISERROR(SEARCH("还差30天到期",K14)))</formula>
    </cfRule>
  </conditionalFormatting>
  <conditionalFormatting sqref="K15">
    <cfRule type="containsText" dxfId="1" priority="334" operator="between" text="已过期">
      <formula>NOT(ISERROR(SEARCH("已过期",K15)))</formula>
    </cfRule>
    <cfRule type="cellIs" dxfId="2" priority="323" stopIfTrue="1" operator="equal">
      <formula>"还差1天到期"</formula>
    </cfRule>
    <cfRule type="containsText" dxfId="3" priority="312" operator="between" text="还差2天到期">
      <formula>NOT(ISERROR(SEARCH("还差2天到期",K15)))</formula>
    </cfRule>
    <cfRule type="containsText" dxfId="3" priority="301" operator="between" text="还差3天到期">
      <formula>NOT(ISERROR(SEARCH("还差3天到期",K15)))</formula>
    </cfRule>
    <cfRule type="containsText" dxfId="3" priority="290" operator="between" text="还差4天到期">
      <formula>NOT(ISERROR(SEARCH("还差4天到期",K15)))</formula>
    </cfRule>
    <cfRule type="containsText" dxfId="3" priority="279" operator="between" text="还差5天到期">
      <formula>NOT(ISERROR(SEARCH("还差5天到期",K15)))</formula>
    </cfRule>
    <cfRule type="containsText" dxfId="3" priority="268" operator="between" text="还差6天到期">
      <formula>NOT(ISERROR(SEARCH("还差6天到期",K15)))</formula>
    </cfRule>
    <cfRule type="containsText" dxfId="3" priority="257" operator="between" text="还差7天到期">
      <formula>NOT(ISERROR(SEARCH("还差7天到期",K15)))</formula>
    </cfRule>
    <cfRule type="containsText" dxfId="3" priority="246" operator="between" text="还差8天到期">
      <formula>NOT(ISERROR(SEARCH("还差8天到期",K15)))</formula>
    </cfRule>
    <cfRule type="containsText" dxfId="3" priority="235" operator="between" text="还差9天到期">
      <formula>NOT(ISERROR(SEARCH("还差9天到期",K15)))</formula>
    </cfRule>
    <cfRule type="containsText" dxfId="3" priority="224" operator="between" text="还差10天到期">
      <formula>NOT(ISERROR(SEARCH("还差10天到期",K15)))</formula>
    </cfRule>
    <cfRule type="containsText" dxfId="3" priority="213" operator="between" text="还差11天到期">
      <formula>NOT(ISERROR(SEARCH("还差11天到期",K15)))</formula>
    </cfRule>
    <cfRule type="containsText" dxfId="3" priority="202" operator="between" text="还差12天到期">
      <formula>NOT(ISERROR(SEARCH("还差12天到期",K15)))</formula>
    </cfRule>
    <cfRule type="containsText" dxfId="3" priority="191" operator="between" text="还差13天到期">
      <formula>NOT(ISERROR(SEARCH("还差13天到期",K15)))</formula>
    </cfRule>
    <cfRule type="containsText" dxfId="3" priority="180" operator="between" text="还差14天到期">
      <formula>NOT(ISERROR(SEARCH("还差14天到期",K15)))</formula>
    </cfRule>
    <cfRule type="containsText" dxfId="3" priority="169" operator="between" text="还差15天到期">
      <formula>NOT(ISERROR(SEARCH("还差15天到期",K15)))</formula>
    </cfRule>
    <cfRule type="containsText" dxfId="3" priority="158" operator="between" text="还差16天到期">
      <formula>NOT(ISERROR(SEARCH("还差16天到期",K15)))</formula>
    </cfRule>
    <cfRule type="containsText" dxfId="3" priority="147" operator="between" text="还差17天到期">
      <formula>NOT(ISERROR(SEARCH("还差17天到期",K15)))</formula>
    </cfRule>
    <cfRule type="containsText" dxfId="3" priority="136" operator="between" text="还差18天到期">
      <formula>NOT(ISERROR(SEARCH("还差18天到期",K15)))</formula>
    </cfRule>
    <cfRule type="containsText" dxfId="3" priority="125" operator="between" text="还差19天到期">
      <formula>NOT(ISERROR(SEARCH("还差19天到期",K15)))</formula>
    </cfRule>
    <cfRule type="containsText" dxfId="3" priority="114" operator="between" text="还差20天到期">
      <formula>NOT(ISERROR(SEARCH("还差20天到期",K15)))</formula>
    </cfRule>
    <cfRule type="containsText" dxfId="3" priority="103" operator="between" text="还差21天到期">
      <formula>NOT(ISERROR(SEARCH("还差21天到期",K15)))</formula>
    </cfRule>
    <cfRule type="containsText" dxfId="3" priority="92" operator="between" text="还差22天到期">
      <formula>NOT(ISERROR(SEARCH("还差22天到期",K15)))</formula>
    </cfRule>
    <cfRule type="containsText" dxfId="3" priority="81" operator="between" text="还差23天到期">
      <formula>NOT(ISERROR(SEARCH("还差23天到期",K15)))</formula>
    </cfRule>
    <cfRule type="containsText" dxfId="3" priority="70" operator="between" text="还差24天到期">
      <formula>NOT(ISERROR(SEARCH("还差24天到期",K15)))</formula>
    </cfRule>
    <cfRule type="containsText" dxfId="3" priority="59" operator="between" text="还差25天到期">
      <formula>NOT(ISERROR(SEARCH("还差25天到期",K15)))</formula>
    </cfRule>
    <cfRule type="containsText" dxfId="3" priority="48" operator="between" text="还差26天到期">
      <formula>NOT(ISERROR(SEARCH("还差26天到期",K15)))</formula>
    </cfRule>
    <cfRule type="containsText" dxfId="3" priority="37" operator="between" text="还差27天到期">
      <formula>NOT(ISERROR(SEARCH("还差27天到期",K15)))</formula>
    </cfRule>
    <cfRule type="containsText" dxfId="3" priority="26" operator="between" text="还差28天到期">
      <formula>NOT(ISERROR(SEARCH("还差28天到期",K15)))</formula>
    </cfRule>
    <cfRule type="containsText" dxfId="3" priority="15" operator="between" text="还差29天到期">
      <formula>NOT(ISERROR(SEARCH("还差29天到期",K15)))</formula>
    </cfRule>
    <cfRule type="containsText" dxfId="3" priority="4" operator="between" text="还差30天到期">
      <formula>NOT(ISERROR(SEARCH("还差30天到期",K15)))</formula>
    </cfRule>
  </conditionalFormatting>
  <conditionalFormatting sqref="K16">
    <cfRule type="containsText" dxfId="1" priority="333" operator="between" text="已过期">
      <formula>NOT(ISERROR(SEARCH("已过期",K16)))</formula>
    </cfRule>
    <cfRule type="cellIs" dxfId="2" priority="322" stopIfTrue="1" operator="equal">
      <formula>"还差1天到期"</formula>
    </cfRule>
    <cfRule type="containsText" dxfId="3" priority="311" operator="between" text="还差2天到期">
      <formula>NOT(ISERROR(SEARCH("还差2天到期",K16)))</formula>
    </cfRule>
    <cfRule type="containsText" dxfId="3" priority="300" operator="between" text="还差3天到期">
      <formula>NOT(ISERROR(SEARCH("还差3天到期",K16)))</formula>
    </cfRule>
    <cfRule type="containsText" dxfId="3" priority="289" operator="between" text="还差4天到期">
      <formula>NOT(ISERROR(SEARCH("还差4天到期",K16)))</formula>
    </cfRule>
    <cfRule type="containsText" dxfId="3" priority="278" operator="between" text="还差5天到期">
      <formula>NOT(ISERROR(SEARCH("还差5天到期",K16)))</formula>
    </cfRule>
    <cfRule type="containsText" dxfId="3" priority="267" operator="between" text="还差6天到期">
      <formula>NOT(ISERROR(SEARCH("还差6天到期",K16)))</formula>
    </cfRule>
    <cfRule type="containsText" dxfId="3" priority="256" operator="between" text="还差7天到期">
      <formula>NOT(ISERROR(SEARCH("还差7天到期",K16)))</formula>
    </cfRule>
    <cfRule type="containsText" dxfId="3" priority="245" operator="between" text="还差8天到期">
      <formula>NOT(ISERROR(SEARCH("还差8天到期",K16)))</formula>
    </cfRule>
    <cfRule type="containsText" dxfId="3" priority="234" operator="between" text="还差9天到期">
      <formula>NOT(ISERROR(SEARCH("还差9天到期",K16)))</formula>
    </cfRule>
    <cfRule type="containsText" dxfId="3" priority="223" operator="between" text="还差10天到期">
      <formula>NOT(ISERROR(SEARCH("还差10天到期",K16)))</formula>
    </cfRule>
    <cfRule type="containsText" dxfId="3" priority="212" operator="between" text="还差11天到期">
      <formula>NOT(ISERROR(SEARCH("还差11天到期",K16)))</formula>
    </cfRule>
    <cfRule type="containsText" dxfId="3" priority="201" operator="between" text="还差12天到期">
      <formula>NOT(ISERROR(SEARCH("还差12天到期",K16)))</formula>
    </cfRule>
    <cfRule type="containsText" dxfId="3" priority="190" operator="between" text="还差13天到期">
      <formula>NOT(ISERROR(SEARCH("还差13天到期",K16)))</formula>
    </cfRule>
    <cfRule type="containsText" dxfId="3" priority="179" operator="between" text="还差14天到期">
      <formula>NOT(ISERROR(SEARCH("还差14天到期",K16)))</formula>
    </cfRule>
    <cfRule type="containsText" dxfId="3" priority="168" operator="between" text="还差15天到期">
      <formula>NOT(ISERROR(SEARCH("还差15天到期",K16)))</formula>
    </cfRule>
    <cfRule type="containsText" dxfId="3" priority="157" operator="between" text="还差16天到期">
      <formula>NOT(ISERROR(SEARCH("还差16天到期",K16)))</formula>
    </cfRule>
    <cfRule type="containsText" dxfId="3" priority="146" operator="between" text="还差17天到期">
      <formula>NOT(ISERROR(SEARCH("还差17天到期",K16)))</formula>
    </cfRule>
    <cfRule type="containsText" dxfId="3" priority="135" operator="between" text="还差18天到期">
      <formula>NOT(ISERROR(SEARCH("还差18天到期",K16)))</formula>
    </cfRule>
    <cfRule type="containsText" dxfId="3" priority="124" operator="between" text="还差19天到期">
      <formula>NOT(ISERROR(SEARCH("还差19天到期",K16)))</formula>
    </cfRule>
    <cfRule type="containsText" dxfId="3" priority="113" operator="between" text="还差20天到期">
      <formula>NOT(ISERROR(SEARCH("还差20天到期",K16)))</formula>
    </cfRule>
    <cfRule type="containsText" dxfId="3" priority="102" operator="between" text="还差21天到期">
      <formula>NOT(ISERROR(SEARCH("还差21天到期",K16)))</formula>
    </cfRule>
    <cfRule type="containsText" dxfId="3" priority="91" operator="between" text="还差22天到期">
      <formula>NOT(ISERROR(SEARCH("还差22天到期",K16)))</formula>
    </cfRule>
    <cfRule type="containsText" dxfId="3" priority="80" operator="between" text="还差23天到期">
      <formula>NOT(ISERROR(SEARCH("还差23天到期",K16)))</formula>
    </cfRule>
    <cfRule type="containsText" dxfId="3" priority="69" operator="between" text="还差24天到期">
      <formula>NOT(ISERROR(SEARCH("还差24天到期",K16)))</formula>
    </cfRule>
    <cfRule type="containsText" dxfId="3" priority="58" operator="between" text="还差25天到期">
      <formula>NOT(ISERROR(SEARCH("还差25天到期",K16)))</formula>
    </cfRule>
    <cfRule type="containsText" dxfId="3" priority="47" operator="between" text="还差26天到期">
      <formula>NOT(ISERROR(SEARCH("还差26天到期",K16)))</formula>
    </cfRule>
    <cfRule type="containsText" dxfId="3" priority="36" operator="between" text="还差27天到期">
      <formula>NOT(ISERROR(SEARCH("还差27天到期",K16)))</formula>
    </cfRule>
    <cfRule type="containsText" dxfId="3" priority="25" operator="between" text="还差28天到期">
      <formula>NOT(ISERROR(SEARCH("还差28天到期",K16)))</formula>
    </cfRule>
    <cfRule type="containsText" dxfId="3" priority="14" operator="between" text="还差29天到期">
      <formula>NOT(ISERROR(SEARCH("还差29天到期",K16)))</formula>
    </cfRule>
    <cfRule type="containsText" dxfId="3" priority="3" operator="between" text="还差30天到期">
      <formula>NOT(ISERROR(SEARCH("还差30天到期",K16)))</formula>
    </cfRule>
  </conditionalFormatting>
  <conditionalFormatting sqref="K17">
    <cfRule type="containsText" dxfId="1" priority="332" operator="between" text="已过期">
      <formula>NOT(ISERROR(SEARCH("已过期",K17)))</formula>
    </cfRule>
    <cfRule type="cellIs" dxfId="2" priority="321" stopIfTrue="1" operator="equal">
      <formula>"还差1天到期"</formula>
    </cfRule>
    <cfRule type="containsText" dxfId="3" priority="310" operator="between" text="还差2天到期">
      <formula>NOT(ISERROR(SEARCH("还差2天到期",K17)))</formula>
    </cfRule>
    <cfRule type="containsText" dxfId="3" priority="299" operator="between" text="还差3天到期">
      <formula>NOT(ISERROR(SEARCH("还差3天到期",K17)))</formula>
    </cfRule>
    <cfRule type="containsText" dxfId="3" priority="288" operator="between" text="还差4天到期">
      <formula>NOT(ISERROR(SEARCH("还差4天到期",K17)))</formula>
    </cfRule>
    <cfRule type="containsText" dxfId="3" priority="277" operator="between" text="还差5天到期">
      <formula>NOT(ISERROR(SEARCH("还差5天到期",K17)))</formula>
    </cfRule>
    <cfRule type="containsText" dxfId="3" priority="266" operator="between" text="还差6天到期">
      <formula>NOT(ISERROR(SEARCH("还差6天到期",K17)))</formula>
    </cfRule>
    <cfRule type="containsText" dxfId="3" priority="255" operator="between" text="还差7天到期">
      <formula>NOT(ISERROR(SEARCH("还差7天到期",K17)))</formula>
    </cfRule>
    <cfRule type="containsText" dxfId="3" priority="244" operator="between" text="还差8天到期">
      <formula>NOT(ISERROR(SEARCH("还差8天到期",K17)))</formula>
    </cfRule>
    <cfRule type="containsText" dxfId="3" priority="233" operator="between" text="还差9天到期">
      <formula>NOT(ISERROR(SEARCH("还差9天到期",K17)))</formula>
    </cfRule>
    <cfRule type="containsText" dxfId="3" priority="222" operator="between" text="还差10天到期">
      <formula>NOT(ISERROR(SEARCH("还差10天到期",K17)))</formula>
    </cfRule>
    <cfRule type="containsText" dxfId="3" priority="211" operator="between" text="还差11天到期">
      <formula>NOT(ISERROR(SEARCH("还差11天到期",K17)))</formula>
    </cfRule>
    <cfRule type="containsText" dxfId="3" priority="200" operator="between" text="还差12天到期">
      <formula>NOT(ISERROR(SEARCH("还差12天到期",K17)))</formula>
    </cfRule>
    <cfRule type="containsText" dxfId="3" priority="189" operator="between" text="还差13天到期">
      <formula>NOT(ISERROR(SEARCH("还差13天到期",K17)))</formula>
    </cfRule>
    <cfRule type="containsText" dxfId="3" priority="178" operator="between" text="还差14天到期">
      <formula>NOT(ISERROR(SEARCH("还差14天到期",K17)))</formula>
    </cfRule>
    <cfRule type="containsText" dxfId="3" priority="167" operator="between" text="还差15天到期">
      <formula>NOT(ISERROR(SEARCH("还差15天到期",K17)))</formula>
    </cfRule>
    <cfRule type="containsText" dxfId="3" priority="156" operator="between" text="还差16天到期">
      <formula>NOT(ISERROR(SEARCH("还差16天到期",K17)))</formula>
    </cfRule>
    <cfRule type="containsText" dxfId="3" priority="145" operator="between" text="还差17天到期">
      <formula>NOT(ISERROR(SEARCH("还差17天到期",K17)))</formula>
    </cfRule>
    <cfRule type="containsText" dxfId="3" priority="134" operator="between" text="还差18天到期">
      <formula>NOT(ISERROR(SEARCH("还差18天到期",K17)))</formula>
    </cfRule>
    <cfRule type="containsText" dxfId="3" priority="123" operator="between" text="还差19天到期">
      <formula>NOT(ISERROR(SEARCH("还差19天到期",K17)))</formula>
    </cfRule>
    <cfRule type="containsText" dxfId="3" priority="112" operator="between" text="还差20天到期">
      <formula>NOT(ISERROR(SEARCH("还差20天到期",K17)))</formula>
    </cfRule>
    <cfRule type="containsText" dxfId="3" priority="101" operator="between" text="还差21天到期">
      <formula>NOT(ISERROR(SEARCH("还差21天到期",K17)))</formula>
    </cfRule>
    <cfRule type="containsText" dxfId="3" priority="90" operator="between" text="还差22天到期">
      <formula>NOT(ISERROR(SEARCH("还差22天到期",K17)))</formula>
    </cfRule>
    <cfRule type="containsText" dxfId="3" priority="79" operator="between" text="还差23天到期">
      <formula>NOT(ISERROR(SEARCH("还差23天到期",K17)))</formula>
    </cfRule>
    <cfRule type="containsText" dxfId="3" priority="68" operator="between" text="还差24天到期">
      <formula>NOT(ISERROR(SEARCH("还差24天到期",K17)))</formula>
    </cfRule>
    <cfRule type="containsText" dxfId="3" priority="57" operator="between" text="还差25天到期">
      <formula>NOT(ISERROR(SEARCH("还差25天到期",K17)))</formula>
    </cfRule>
    <cfRule type="containsText" dxfId="3" priority="46" operator="between" text="还差26天到期">
      <formula>NOT(ISERROR(SEARCH("还差26天到期",K17)))</formula>
    </cfRule>
    <cfRule type="containsText" dxfId="3" priority="35" operator="between" text="还差27天到期">
      <formula>NOT(ISERROR(SEARCH("还差27天到期",K17)))</formula>
    </cfRule>
    <cfRule type="containsText" dxfId="3" priority="24" operator="between" text="还差28天到期">
      <formula>NOT(ISERROR(SEARCH("还差28天到期",K17)))</formula>
    </cfRule>
    <cfRule type="containsText" dxfId="3" priority="13" operator="between" text="还差29天到期">
      <formula>NOT(ISERROR(SEARCH("还差29天到期",K17)))</formula>
    </cfRule>
    <cfRule type="containsText" dxfId="3" priority="2" operator="between" text="还差30天到期">
      <formula>NOT(ISERROR(SEARCH("还差30天到期",K17)))</formula>
    </cfRule>
  </conditionalFormatting>
  <conditionalFormatting sqref="K3:K6 K18:K1048576 K1">
    <cfRule type="containsText" dxfId="3" priority="343" operator="between" text="还差30天到期">
      <formula>NOT(ISERROR(SEARCH("还差30天到期",K1)))</formula>
    </cfRule>
    <cfRule type="containsText" dxfId="3" priority="344" operator="between" text="还差29天到期">
      <formula>NOT(ISERROR(SEARCH("还差29天到期",K1)))</formula>
    </cfRule>
    <cfRule type="containsText" dxfId="3" priority="345" operator="between" text="还差28天到期">
      <formula>NOT(ISERROR(SEARCH("还差28天到期",K1)))</formula>
    </cfRule>
    <cfRule type="containsText" dxfId="3" priority="346" operator="between" text="还差27天到期">
      <formula>NOT(ISERROR(SEARCH("还差27天到期",K1)))</formula>
    </cfRule>
    <cfRule type="containsText" dxfId="3" priority="347" operator="between" text="还差26天到期">
      <formula>NOT(ISERROR(SEARCH("还差26天到期",K1)))</formula>
    </cfRule>
    <cfRule type="containsText" dxfId="3" priority="348" operator="between" text="还差25天到期">
      <formula>NOT(ISERROR(SEARCH("还差25天到期",K1)))</formula>
    </cfRule>
    <cfRule type="containsText" dxfId="3" priority="349" operator="between" text="还差24天到期">
      <formula>NOT(ISERROR(SEARCH("还差24天到期",K1)))</formula>
    </cfRule>
    <cfRule type="containsText" dxfId="3" priority="350" operator="between" text="还差23天到期">
      <formula>NOT(ISERROR(SEARCH("还差23天到期",K1)))</formula>
    </cfRule>
    <cfRule type="containsText" dxfId="3" priority="351" operator="between" text="还差22天到期">
      <formula>NOT(ISERROR(SEARCH("还差22天到期",K1)))</formula>
    </cfRule>
    <cfRule type="containsText" dxfId="3" priority="352" operator="between" text="还差21天到期">
      <formula>NOT(ISERROR(SEARCH("还差21天到期",K1)))</formula>
    </cfRule>
    <cfRule type="containsText" dxfId="3" priority="353" operator="between" text="还差20天到期">
      <formula>NOT(ISERROR(SEARCH("还差20天到期",K1)))</formula>
    </cfRule>
    <cfRule type="containsText" dxfId="3" priority="354" operator="between" text="还差19天到期">
      <formula>NOT(ISERROR(SEARCH("还差19天到期",K1)))</formula>
    </cfRule>
    <cfRule type="containsText" dxfId="3" priority="355" operator="between" text="还差18天到期">
      <formula>NOT(ISERROR(SEARCH("还差18天到期",K1)))</formula>
    </cfRule>
    <cfRule type="containsText" dxfId="3" priority="356" operator="between" text="还差17天到期">
      <formula>NOT(ISERROR(SEARCH("还差17天到期",K1)))</formula>
    </cfRule>
    <cfRule type="containsText" dxfId="3" priority="357" operator="between" text="还差16天到期">
      <formula>NOT(ISERROR(SEARCH("还差16天到期",K1)))</formula>
    </cfRule>
    <cfRule type="containsText" dxfId="3" priority="358" operator="between" text="还差15天到期">
      <formula>NOT(ISERROR(SEARCH("还差15天到期",K1)))</formula>
    </cfRule>
    <cfRule type="containsText" dxfId="3" priority="359" operator="between" text="还差14天到期">
      <formula>NOT(ISERROR(SEARCH("还差14天到期",K1)))</formula>
    </cfRule>
    <cfRule type="containsText" dxfId="3" priority="360" operator="between" text="还差13天到期">
      <formula>NOT(ISERROR(SEARCH("还差13天到期",K1)))</formula>
    </cfRule>
    <cfRule type="containsText" dxfId="3" priority="361" operator="between" text="还差12天到期">
      <formula>NOT(ISERROR(SEARCH("还差12天到期",K1)))</formula>
    </cfRule>
    <cfRule type="containsText" dxfId="3" priority="362" operator="between" text="还差11天到期">
      <formula>NOT(ISERROR(SEARCH("还差11天到期",K1)))</formula>
    </cfRule>
    <cfRule type="containsText" dxfId="3" priority="363" operator="between" text="还差10天到期">
      <formula>NOT(ISERROR(SEARCH("还差10天到期",K1)))</formula>
    </cfRule>
    <cfRule type="containsText" dxfId="3" priority="364" operator="between" text="还差9天到期">
      <formula>NOT(ISERROR(SEARCH("还差9天到期",K1)))</formula>
    </cfRule>
    <cfRule type="containsText" dxfId="3" priority="365" operator="between" text="还差8天到期">
      <formula>NOT(ISERROR(SEARCH("还差8天到期",K1)))</formula>
    </cfRule>
    <cfRule type="containsText" dxfId="3" priority="366" operator="between" text="还差7天到期">
      <formula>NOT(ISERROR(SEARCH("还差7天到期",K1)))</formula>
    </cfRule>
    <cfRule type="containsText" dxfId="3" priority="367" operator="between" text="还差6天到期">
      <formula>NOT(ISERROR(SEARCH("还差6天到期",K1)))</formula>
    </cfRule>
    <cfRule type="containsText" dxfId="3" priority="368" operator="between" text="还差5天到期">
      <formula>NOT(ISERROR(SEARCH("还差5天到期",K1)))</formula>
    </cfRule>
    <cfRule type="containsText" dxfId="3" priority="369" operator="between" text="还差4天到期">
      <formula>NOT(ISERROR(SEARCH("还差4天到期",K1)))</formula>
    </cfRule>
    <cfRule type="containsText" dxfId="3" priority="370" operator="between" text="还差3天到期">
      <formula>NOT(ISERROR(SEARCH("还差3天到期",K1)))</formula>
    </cfRule>
    <cfRule type="containsText" dxfId="3" priority="371" operator="between" text="还差2天到期">
      <formula>NOT(ISERROR(SEARCH("还差2天到期",K1)))</formula>
    </cfRule>
    <cfRule type="cellIs" dxfId="2" priority="372" stopIfTrue="1" operator="equal">
      <formula>"还差1天到期"</formula>
    </cfRule>
    <cfRule type="containsText" dxfId="1" priority="373" operator="between" text="已过期">
      <formula>NOT(ISERROR(SEARCH("已过期",K1)))</formula>
    </cfRule>
  </conditionalFormatting>
  <dataValidations count="4">
    <dataValidation allowBlank="1" showInputMessage="1" showErrorMessage="1" sqref="P1"/>
    <dataValidation type="list" allowBlank="1" showInputMessage="1" showErrorMessage="1" sqref="P9 P3:P8 P10:P11 P12:P32 P33:P1048576">
      <formula1>"已婚,未婚"</formula1>
    </dataValidation>
    <dataValidation type="list" allowBlank="1" showInputMessage="1" showErrorMessage="1" sqref="V17 V18 V19 V20 V21 V22 V23 V24 V25 V26 V27 V28 V29 V30 V3:V14 V15:V16 V31:V32">
      <formula1>"高级,中级,初级,无"</formula1>
    </dataValidation>
    <dataValidation type="list" allowBlank="1" showInputMessage="1" showErrorMessage="1" sqref="X3:X32">
      <formula1>"博士后,博士,硕士,本科,大专,中专,高中,初中"</formula1>
    </dataValidation>
  </dataValidations>
  <pageMargins left="0.15625" right="0.1556" top="0.55" bottom="1" header="0.5156" footer="0.5156"/>
  <pageSetup paperSize="9" orientation="landscape"/>
  <headerFooter/>
  <ignoredErrors>
    <ignoredError sqref="M4:M7 M3 M8:M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8"/>
  <sheetViews>
    <sheetView workbookViewId="0">
      <selection activeCell="H20" sqref="H20"/>
    </sheetView>
  </sheetViews>
  <sheetFormatPr defaultColWidth="9.714" defaultRowHeight="17.6"/>
  <cols>
    <col min="1" max="2" width="8" style="38" customWidth="1"/>
    <col min="3" max="3" width="11.4285714285714" style="38" customWidth="1"/>
    <col min="4" max="4" width="11.4285714285714" style="39" customWidth="1"/>
    <col min="5" max="5" width="8.577" style="39" customWidth="1"/>
    <col min="6" max="6" width="13.27" style="39" customWidth="1"/>
    <col min="7" max="7" width="18.7857142857143" style="39" customWidth="1"/>
    <col min="8" max="8" width="8.577" style="39" customWidth="1"/>
    <col min="9" max="9" width="8.577" style="38" customWidth="1"/>
    <col min="10" max="10" width="8" style="38" customWidth="1"/>
    <col min="11" max="11" width="8.577" style="38" customWidth="1"/>
    <col min="12" max="12" width="13.27" style="38" customWidth="1"/>
    <col min="13" max="13" width="18.7857142857143" style="38" customWidth="1"/>
    <col min="14" max="15" width="8.577" style="38" customWidth="1"/>
    <col min="16" max="16" width="8" style="38" customWidth="1"/>
    <col min="17" max="16384" width="9.714" style="38"/>
  </cols>
  <sheetData>
    <row r="1" s="36" customFormat="1" ht="21" customHeight="1" spans="1:16">
      <c r="A1" s="40" t="s">
        <v>53</v>
      </c>
      <c r="B1" s="40" t="s">
        <v>54</v>
      </c>
      <c r="C1" s="40" t="s">
        <v>55</v>
      </c>
      <c r="D1" s="49" t="s">
        <v>335</v>
      </c>
      <c r="E1" s="50"/>
      <c r="F1" s="50"/>
      <c r="G1" s="50"/>
      <c r="H1" s="50"/>
      <c r="I1" s="51"/>
      <c r="J1" s="50" t="s">
        <v>336</v>
      </c>
      <c r="K1" s="50"/>
      <c r="L1" s="50"/>
      <c r="M1" s="50"/>
      <c r="N1" s="50"/>
      <c r="O1" s="51"/>
      <c r="P1" s="40" t="s">
        <v>337</v>
      </c>
    </row>
    <row r="2" s="36" customFormat="1" ht="21" customHeight="1" spans="1:16">
      <c r="A2" s="42"/>
      <c r="B2" s="42"/>
      <c r="C2" s="42"/>
      <c r="D2" s="41" t="s">
        <v>25</v>
      </c>
      <c r="E2" s="41" t="s">
        <v>338</v>
      </c>
      <c r="F2" s="41" t="s">
        <v>73</v>
      </c>
      <c r="G2" s="41" t="s">
        <v>74</v>
      </c>
      <c r="H2" s="41" t="s">
        <v>339</v>
      </c>
      <c r="I2" s="52" t="s">
        <v>340</v>
      </c>
      <c r="J2" s="52" t="s">
        <v>25</v>
      </c>
      <c r="K2" s="52" t="s">
        <v>338</v>
      </c>
      <c r="L2" s="52" t="s">
        <v>73</v>
      </c>
      <c r="M2" s="52" t="s">
        <v>74</v>
      </c>
      <c r="N2" s="52" t="s">
        <v>339</v>
      </c>
      <c r="O2" s="52" t="s">
        <v>340</v>
      </c>
      <c r="P2" s="42"/>
    </row>
    <row r="3" s="37" customFormat="1" ht="13" customHeight="1" spans="1:16">
      <c r="A3" s="43" t="s">
        <v>93</v>
      </c>
      <c r="B3" s="43" t="s">
        <v>93</v>
      </c>
      <c r="C3" s="44" t="s">
        <v>94</v>
      </c>
      <c r="D3" s="44" t="s">
        <v>94</v>
      </c>
      <c r="E3" s="46" t="s">
        <v>93</v>
      </c>
      <c r="F3" s="44" t="s">
        <v>94</v>
      </c>
      <c r="G3" s="44" t="s">
        <v>94</v>
      </c>
      <c r="H3" s="43" t="s">
        <v>93</v>
      </c>
      <c r="I3" s="43" t="s">
        <v>93</v>
      </c>
      <c r="J3" s="46" t="s">
        <v>93</v>
      </c>
      <c r="K3" s="46" t="s">
        <v>93</v>
      </c>
      <c r="L3" s="46" t="s">
        <v>93</v>
      </c>
      <c r="M3" s="46" t="s">
        <v>93</v>
      </c>
      <c r="N3" s="46" t="s">
        <v>93</v>
      </c>
      <c r="O3" s="43" t="s">
        <v>93</v>
      </c>
      <c r="P3" s="43" t="s">
        <v>93</v>
      </c>
    </row>
    <row r="4" s="37" customFormat="1" ht="13" customHeight="1" spans="1:16">
      <c r="A4" s="45">
        <v>1</v>
      </c>
      <c r="B4" s="45" t="s">
        <v>95</v>
      </c>
      <c r="C4" s="45" t="str">
        <f>VLOOKUP(B4,员工花名册!B3:H32,2,0)</f>
        <v>张一一</v>
      </c>
      <c r="D4" s="45" t="str">
        <f ca="1">VLOOKUP(B4,员工花名册!B3:Z32,23,0)</f>
        <v>硕士</v>
      </c>
      <c r="E4" s="47" t="s">
        <v>341</v>
      </c>
      <c r="F4" s="45" t="str">
        <f ca="1">VLOOKUP(B4,员工花名册!B3:AF32,24,0)</f>
        <v>深圳大学</v>
      </c>
      <c r="G4" s="47" t="str">
        <f ca="1">VLOOKUP(B4,员工花名册!B3:AF32,25,0)</f>
        <v>工商管理</v>
      </c>
      <c r="H4" s="48" t="s">
        <v>342</v>
      </c>
      <c r="I4" s="48" t="s">
        <v>343</v>
      </c>
      <c r="J4" s="45" t="s">
        <v>33</v>
      </c>
      <c r="K4" s="45" t="s">
        <v>344</v>
      </c>
      <c r="L4" s="45" t="s">
        <v>104</v>
      </c>
      <c r="M4" s="47" t="s">
        <v>105</v>
      </c>
      <c r="N4" s="48" t="s">
        <v>345</v>
      </c>
      <c r="O4" s="48" t="s">
        <v>346</v>
      </c>
      <c r="P4" s="45"/>
    </row>
    <row r="5" s="37" customFormat="1" ht="13" customHeight="1" spans="1:16">
      <c r="A5" s="45">
        <v>2</v>
      </c>
      <c r="B5" s="45" t="s">
        <v>110</v>
      </c>
      <c r="C5" s="45" t="str">
        <f>VLOOKUP(B5,员工花名册!B4:H32,2,0)</f>
        <v>刘二二</v>
      </c>
      <c r="D5" s="45" t="str">
        <f ca="1">VLOOKUP(B5,员工花名册!B4:Z33,23,0)</f>
        <v>本科</v>
      </c>
      <c r="E5" s="47" t="s">
        <v>344</v>
      </c>
      <c r="F5" s="45" t="str">
        <f ca="1">VLOOKUP(B5,员工花名册!B4:AF33,24,0)</f>
        <v>广州大学</v>
      </c>
      <c r="G5" s="47" t="str">
        <f ca="1">VLOOKUP(B5,员工花名册!B4:AF33,25,0)</f>
        <v>工商企业管理</v>
      </c>
      <c r="H5" s="48" t="s">
        <v>347</v>
      </c>
      <c r="I5" s="48" t="s">
        <v>348</v>
      </c>
      <c r="J5" s="45" t="s">
        <v>37</v>
      </c>
      <c r="K5" s="45" t="s">
        <v>344</v>
      </c>
      <c r="L5" s="45" t="s">
        <v>118</v>
      </c>
      <c r="M5" s="47" t="s">
        <v>119</v>
      </c>
      <c r="N5" s="48" t="s">
        <v>349</v>
      </c>
      <c r="O5" s="48" t="s">
        <v>350</v>
      </c>
      <c r="P5" s="45"/>
    </row>
    <row r="6" s="37" customFormat="1" ht="13" customHeight="1" spans="1:16">
      <c r="A6" s="45">
        <v>3</v>
      </c>
      <c r="B6" s="45" t="s">
        <v>122</v>
      </c>
      <c r="C6" s="45" t="str">
        <f>VLOOKUP(B6,员工花名册!B5:H33,2,0)</f>
        <v>王三三</v>
      </c>
      <c r="D6" s="45" t="str">
        <f ca="1">VLOOKUP(B6,员工花名册!B5:Z34,23,0)</f>
        <v>博士</v>
      </c>
      <c r="E6" s="47" t="s">
        <v>344</v>
      </c>
      <c r="F6" s="45" t="str">
        <f ca="1">VLOOKUP(B6,员工花名册!B5:AF34,24,0)</f>
        <v>湖南理工大学</v>
      </c>
      <c r="G6" s="47" t="str">
        <f ca="1">VLOOKUP(B6,员工花名册!B5:AF34,25,0)</f>
        <v>微电子学与固体电子学</v>
      </c>
      <c r="H6" s="48" t="s">
        <v>345</v>
      </c>
      <c r="I6" s="48" t="s">
        <v>351</v>
      </c>
      <c r="J6" s="45" t="s">
        <v>33</v>
      </c>
      <c r="K6" s="45" t="s">
        <v>344</v>
      </c>
      <c r="L6" s="45" t="s">
        <v>128</v>
      </c>
      <c r="M6" s="47" t="s">
        <v>129</v>
      </c>
      <c r="N6" s="48" t="s">
        <v>352</v>
      </c>
      <c r="O6" s="48" t="s">
        <v>353</v>
      </c>
      <c r="P6" s="45"/>
    </row>
    <row r="7" s="37" customFormat="1" ht="13" customHeight="1" spans="1:16">
      <c r="A7" s="45">
        <v>4</v>
      </c>
      <c r="B7" s="45" t="s">
        <v>133</v>
      </c>
      <c r="C7" s="45" t="str">
        <f>VLOOKUP(B7,员工花名册!B6:H34,2,0)</f>
        <v>周四四</v>
      </c>
      <c r="D7" s="45" t="str">
        <f ca="1">VLOOKUP(B7,员工花名册!B6:Z35,23,0)</f>
        <v>博士</v>
      </c>
      <c r="E7" s="47" t="s">
        <v>344</v>
      </c>
      <c r="F7" s="45" t="str">
        <f ca="1">VLOOKUP(B7,员工花名册!B6:AF35,24,0)</f>
        <v>北京大学</v>
      </c>
      <c r="G7" s="47" t="str">
        <f ca="1">VLOOKUP(B7,员工花名册!B6:AF35,25,0)</f>
        <v>农业经济管理</v>
      </c>
      <c r="H7" s="48" t="s">
        <v>354</v>
      </c>
      <c r="I7" s="48" t="s">
        <v>348</v>
      </c>
      <c r="J7" s="45" t="s">
        <v>33</v>
      </c>
      <c r="K7" s="45" t="s">
        <v>344</v>
      </c>
      <c r="L7" s="45" t="s">
        <v>140</v>
      </c>
      <c r="M7" s="47" t="s">
        <v>141</v>
      </c>
      <c r="N7" s="48" t="s">
        <v>355</v>
      </c>
      <c r="O7" s="48" t="s">
        <v>356</v>
      </c>
      <c r="P7" s="45"/>
    </row>
    <row r="8" s="37" customFormat="1" ht="13" customHeight="1" spans="1:16">
      <c r="A8" s="45">
        <v>5</v>
      </c>
      <c r="B8" s="45" t="s">
        <v>143</v>
      </c>
      <c r="C8" s="45" t="str">
        <f>VLOOKUP(B8,员工花名册!B7:H35,2,0)</f>
        <v>赵五五</v>
      </c>
      <c r="D8" s="45" t="str">
        <f ca="1">VLOOKUP(B8,员工花名册!B7:Z36,23,0)</f>
        <v>硕士</v>
      </c>
      <c r="E8" s="47" t="s">
        <v>341</v>
      </c>
      <c r="F8" s="45" t="str">
        <f ca="1">VLOOKUP(B8,员工花名册!B7:AF36,24,0)</f>
        <v>清华大学</v>
      </c>
      <c r="G8" s="47" t="str">
        <f ca="1">VLOOKUP(B8,员工花名册!B7:AF36,25,0)</f>
        <v>法律</v>
      </c>
      <c r="H8" s="48" t="s">
        <v>357</v>
      </c>
      <c r="I8" s="48" t="s">
        <v>343</v>
      </c>
      <c r="J8" s="45" t="s">
        <v>33</v>
      </c>
      <c r="K8" s="45" t="s">
        <v>344</v>
      </c>
      <c r="L8" s="45" t="s">
        <v>149</v>
      </c>
      <c r="M8" s="47" t="s">
        <v>150</v>
      </c>
      <c r="N8" s="48" t="s">
        <v>349</v>
      </c>
      <c r="O8" s="48" t="s">
        <v>358</v>
      </c>
      <c r="P8" s="45"/>
    </row>
    <row r="9" s="37" customFormat="1" ht="13" customHeight="1" spans="1:16">
      <c r="A9" s="45">
        <v>6</v>
      </c>
      <c r="B9" s="45" t="s">
        <v>153</v>
      </c>
      <c r="C9" s="45" t="str">
        <f>VLOOKUP(B9,员工花名册!B8:H36,2,0)</f>
        <v>陈六六</v>
      </c>
      <c r="D9" s="45" t="str">
        <f ca="1">VLOOKUP(B9,员工花名册!B8:Z37,23,0)</f>
        <v>本科</v>
      </c>
      <c r="E9" s="47" t="s">
        <v>344</v>
      </c>
      <c r="F9" s="45" t="str">
        <f ca="1">VLOOKUP(B9,员工花名册!B8:AF37,24,0)</f>
        <v>广西大学</v>
      </c>
      <c r="G9" s="47" t="str">
        <f ca="1">VLOOKUP(B9,员工花名册!B8:AF37,25,0)</f>
        <v>法学</v>
      </c>
      <c r="H9" s="48" t="s">
        <v>357</v>
      </c>
      <c r="I9" s="48" t="s">
        <v>343</v>
      </c>
      <c r="J9" s="45" t="s">
        <v>37</v>
      </c>
      <c r="K9" s="45" t="s">
        <v>344</v>
      </c>
      <c r="L9" s="45" t="s">
        <v>359</v>
      </c>
      <c r="M9" s="45" t="s">
        <v>327</v>
      </c>
      <c r="N9" s="48" t="s">
        <v>345</v>
      </c>
      <c r="O9" s="48" t="s">
        <v>358</v>
      </c>
      <c r="P9" s="45"/>
    </row>
    <row r="10" s="37" customFormat="1" ht="13" customHeight="1" spans="1:16">
      <c r="A10" s="45">
        <v>7</v>
      </c>
      <c r="B10" s="45" t="s">
        <v>163</v>
      </c>
      <c r="C10" s="45" t="str">
        <f>VLOOKUP(B10,员工花名册!B9:H37,2,0)</f>
        <v>方七七</v>
      </c>
      <c r="D10" s="45" t="str">
        <f ca="1">VLOOKUP(B10,员工花名册!B9:Z38,23,0)</f>
        <v>本科</v>
      </c>
      <c r="E10" s="47" t="s">
        <v>344</v>
      </c>
      <c r="F10" s="45" t="str">
        <f ca="1">VLOOKUP(B10,员工花名册!B9:AF38,24,0)</f>
        <v>广西民族大学</v>
      </c>
      <c r="G10" s="47" t="str">
        <f ca="1">VLOOKUP(B10,员工花名册!B9:AF38,25,0)</f>
        <v>工商企业管理</v>
      </c>
      <c r="H10" s="48" t="s">
        <v>354</v>
      </c>
      <c r="I10" s="48" t="s">
        <v>351</v>
      </c>
      <c r="J10" s="45" t="s">
        <v>37</v>
      </c>
      <c r="K10" s="45" t="s">
        <v>344</v>
      </c>
      <c r="L10" s="45" t="s">
        <v>360</v>
      </c>
      <c r="M10" s="45" t="s">
        <v>327</v>
      </c>
      <c r="N10" s="48" t="s">
        <v>361</v>
      </c>
      <c r="O10" s="48" t="s">
        <v>356</v>
      </c>
      <c r="P10" s="45"/>
    </row>
    <row r="11" s="37" customFormat="1" ht="13" customHeight="1" spans="1:16">
      <c r="A11" s="45">
        <v>8</v>
      </c>
      <c r="B11" s="45" t="s">
        <v>170</v>
      </c>
      <c r="C11" s="45" t="str">
        <f>VLOOKUP(B11,员工花名册!B10:H38,2,0)</f>
        <v>秦八八</v>
      </c>
      <c r="D11" s="45" t="str">
        <f ca="1">VLOOKUP(B11,员工花名册!B10:Z39,23,0)</f>
        <v>大专</v>
      </c>
      <c r="E11" s="47" t="s">
        <v>344</v>
      </c>
      <c r="F11" s="45" t="str">
        <f ca="1">VLOOKUP(B11,员工花名册!B10:AF39,24,0)</f>
        <v>山东理工大学</v>
      </c>
      <c r="G11" s="47" t="str">
        <f ca="1">VLOOKUP(B11,员工花名册!B10:AF39,25,0)</f>
        <v>国际贸易</v>
      </c>
      <c r="H11" s="48" t="s">
        <v>342</v>
      </c>
      <c r="I11" s="48" t="s">
        <v>343</v>
      </c>
      <c r="J11" s="45" t="s">
        <v>37</v>
      </c>
      <c r="K11" s="45" t="s">
        <v>344</v>
      </c>
      <c r="L11" s="45" t="s">
        <v>362</v>
      </c>
      <c r="M11" s="45" t="s">
        <v>327</v>
      </c>
      <c r="N11" s="48" t="s">
        <v>354</v>
      </c>
      <c r="O11" s="48" t="s">
        <v>346</v>
      </c>
      <c r="P11" s="45"/>
    </row>
    <row r="12" s="37" customFormat="1" ht="13" customHeight="1" spans="1:16">
      <c r="A12" s="45">
        <v>9</v>
      </c>
      <c r="B12" s="45" t="s">
        <v>179</v>
      </c>
      <c r="C12" s="45" t="str">
        <f>VLOOKUP(B12,员工花名册!B11:H39,2,0)</f>
        <v>唐九九</v>
      </c>
      <c r="D12" s="45" t="str">
        <f ca="1">VLOOKUP(B12,员工花名册!B11:Z40,23,0)</f>
        <v>大专</v>
      </c>
      <c r="E12" s="47" t="s">
        <v>344</v>
      </c>
      <c r="F12" s="45" t="str">
        <f ca="1">VLOOKUP(B12,员工花名册!B11:AF40,24,0)</f>
        <v>厦门大学</v>
      </c>
      <c r="G12" s="47" t="str">
        <f ca="1">VLOOKUP(B12,员工花名册!B11:AF40,25,0)</f>
        <v>物流管理</v>
      </c>
      <c r="H12" s="48" t="s">
        <v>345</v>
      </c>
      <c r="I12" s="48" t="s">
        <v>351</v>
      </c>
      <c r="J12" s="45" t="s">
        <v>37</v>
      </c>
      <c r="K12" s="45" t="s">
        <v>344</v>
      </c>
      <c r="L12" s="45" t="s">
        <v>363</v>
      </c>
      <c r="M12" s="45" t="s">
        <v>327</v>
      </c>
      <c r="N12" s="48" t="s">
        <v>355</v>
      </c>
      <c r="O12" s="48" t="s">
        <v>353</v>
      </c>
      <c r="P12" s="45"/>
    </row>
    <row r="13" s="37" customFormat="1" ht="13" customHeight="1" spans="1:16">
      <c r="A13" s="45">
        <v>10</v>
      </c>
      <c r="B13" s="45" t="s">
        <v>189</v>
      </c>
      <c r="C13" s="45" t="str">
        <f>VLOOKUP(B13,员工花名册!B12:H40,2,0)</f>
        <v>萧一十</v>
      </c>
      <c r="D13" s="45" t="str">
        <f ca="1">VLOOKUP(B13,员工花名册!B12:Z41,23,0)</f>
        <v>本科</v>
      </c>
      <c r="E13" s="47" t="s">
        <v>344</v>
      </c>
      <c r="F13" s="45" t="str">
        <f ca="1">VLOOKUP(B13,员工花名册!B12:AF41,24,0)</f>
        <v>四川大学</v>
      </c>
      <c r="G13" s="47" t="str">
        <f ca="1">VLOOKUP(B13,员工花名册!B12:AF41,25,0)</f>
        <v>软件技术</v>
      </c>
      <c r="H13" s="48" t="s">
        <v>354</v>
      </c>
      <c r="I13" s="48" t="s">
        <v>348</v>
      </c>
      <c r="J13" s="45" t="s">
        <v>37</v>
      </c>
      <c r="K13" s="45" t="s">
        <v>344</v>
      </c>
      <c r="L13" s="45" t="s">
        <v>364</v>
      </c>
      <c r="M13" s="45" t="s">
        <v>327</v>
      </c>
      <c r="N13" s="48" t="s">
        <v>361</v>
      </c>
      <c r="O13" s="48" t="s">
        <v>356</v>
      </c>
      <c r="P13" s="45"/>
    </row>
    <row r="14" s="37" customFormat="1" ht="13" customHeight="1" spans="1:16">
      <c r="A14" s="45">
        <v>11</v>
      </c>
      <c r="B14" s="45" t="s">
        <v>199</v>
      </c>
      <c r="C14" s="45" t="str">
        <f>VLOOKUP(B14,员工花名册!B13:H41,2,0)</f>
        <v>朱十一</v>
      </c>
      <c r="D14" s="45" t="str">
        <f ca="1">VLOOKUP(B14,员工花名册!B13:Z42,23,0)</f>
        <v>大专</v>
      </c>
      <c r="E14" s="47" t="s">
        <v>344</v>
      </c>
      <c r="F14" s="45" t="str">
        <f ca="1">VLOOKUP(B14,员工花名册!B13:AF42,24,0)</f>
        <v>武汉大学</v>
      </c>
      <c r="G14" s="47" t="str">
        <f ca="1">VLOOKUP(B14,员工花名册!B13:AF42,25,0)</f>
        <v>计算机信息管理</v>
      </c>
      <c r="H14" s="48" t="s">
        <v>357</v>
      </c>
      <c r="I14" s="48" t="s">
        <v>343</v>
      </c>
      <c r="J14" s="45" t="s">
        <v>37</v>
      </c>
      <c r="K14" s="45" t="s">
        <v>344</v>
      </c>
      <c r="L14" s="45" t="s">
        <v>365</v>
      </c>
      <c r="M14" s="45" t="s">
        <v>327</v>
      </c>
      <c r="N14" s="48" t="s">
        <v>345</v>
      </c>
      <c r="O14" s="48" t="s">
        <v>358</v>
      </c>
      <c r="P14" s="45"/>
    </row>
    <row r="15" s="37" customFormat="1" ht="13" customHeight="1" spans="1:16">
      <c r="A15" s="45">
        <v>12</v>
      </c>
      <c r="B15" s="45" t="s">
        <v>209</v>
      </c>
      <c r="C15" s="45" t="str">
        <f>VLOOKUP(B15,员工花名册!B14:H42,2,0)</f>
        <v>周十二</v>
      </c>
      <c r="D15" s="45" t="str">
        <f ca="1">VLOOKUP(B15,员工花名册!B14:Z43,23,0)</f>
        <v>本科</v>
      </c>
      <c r="E15" s="47" t="s">
        <v>344</v>
      </c>
      <c r="F15" s="45" t="str">
        <f ca="1">VLOOKUP(B15,员工花名册!B14:AF43,24,0)</f>
        <v>中山大学</v>
      </c>
      <c r="G15" s="47" t="str">
        <f ca="1">VLOOKUP(B15,员工花名册!B14:AF43,25,0)</f>
        <v>软件工程</v>
      </c>
      <c r="H15" s="48" t="s">
        <v>357</v>
      </c>
      <c r="I15" s="48" t="s">
        <v>343</v>
      </c>
      <c r="J15" s="45" t="s">
        <v>37</v>
      </c>
      <c r="K15" s="45" t="s">
        <v>344</v>
      </c>
      <c r="L15" s="45" t="s">
        <v>366</v>
      </c>
      <c r="M15" s="45" t="s">
        <v>327</v>
      </c>
      <c r="N15" s="48" t="s">
        <v>345</v>
      </c>
      <c r="O15" s="48" t="s">
        <v>358</v>
      </c>
      <c r="P15" s="45"/>
    </row>
    <row r="16" s="37" customFormat="1" ht="13" customHeight="1" spans="1:16">
      <c r="A16" s="45">
        <v>13</v>
      </c>
      <c r="B16" s="45" t="s">
        <v>219</v>
      </c>
      <c r="C16" s="45" t="str">
        <f>VLOOKUP(B16,员工花名册!B15:H43,2,0)</f>
        <v>庞十三</v>
      </c>
      <c r="D16" s="45" t="str">
        <f ca="1">VLOOKUP(B16,员工花名册!B15:Z44,23,0)</f>
        <v>大专</v>
      </c>
      <c r="E16" s="47" t="s">
        <v>344</v>
      </c>
      <c r="F16" s="45" t="str">
        <f ca="1">VLOOKUP(B16,员工花名册!B15:AF44,24,0)</f>
        <v>中南大学</v>
      </c>
      <c r="G16" s="47" t="str">
        <f ca="1">VLOOKUP(B16,员工花名册!B15:AF44,25,0)</f>
        <v>软件开发</v>
      </c>
      <c r="H16" s="48" t="s">
        <v>354</v>
      </c>
      <c r="I16" s="48" t="s">
        <v>351</v>
      </c>
      <c r="J16" s="45" t="s">
        <v>37</v>
      </c>
      <c r="K16" s="45" t="s">
        <v>344</v>
      </c>
      <c r="L16" s="45" t="s">
        <v>367</v>
      </c>
      <c r="M16" s="45" t="s">
        <v>327</v>
      </c>
      <c r="N16" s="48" t="s">
        <v>361</v>
      </c>
      <c r="O16" s="48" t="s">
        <v>356</v>
      </c>
      <c r="P16" s="45"/>
    </row>
    <row r="17" s="37" customFormat="1" ht="13" customHeight="1" spans="1:16">
      <c r="A17" s="45">
        <v>14</v>
      </c>
      <c r="B17" s="45" t="s">
        <v>226</v>
      </c>
      <c r="C17" s="45" t="str">
        <f>VLOOKUP(B17,员工花名册!B16:H44,2,0)</f>
        <v>方十四</v>
      </c>
      <c r="D17" s="45" t="str">
        <f ca="1">VLOOKUP(B17,员工花名册!B16:Z45,23,0)</f>
        <v>本科</v>
      </c>
      <c r="E17" s="47" t="s">
        <v>344</v>
      </c>
      <c r="F17" s="45" t="str">
        <f ca="1">VLOOKUP(B17,员工花名册!B16:AF45,24,0)</f>
        <v>南京大学</v>
      </c>
      <c r="G17" s="47" t="str">
        <f ca="1">VLOOKUP(B17,员工花名册!B16:AF45,25,0)</f>
        <v>电子信息工程</v>
      </c>
      <c r="H17" s="48" t="s">
        <v>342</v>
      </c>
      <c r="I17" s="48" t="s">
        <v>343</v>
      </c>
      <c r="J17" s="45" t="s">
        <v>37</v>
      </c>
      <c r="K17" s="45" t="s">
        <v>344</v>
      </c>
      <c r="L17" s="45" t="s">
        <v>368</v>
      </c>
      <c r="M17" s="45" t="s">
        <v>327</v>
      </c>
      <c r="N17" s="48" t="s">
        <v>354</v>
      </c>
      <c r="O17" s="48" t="s">
        <v>346</v>
      </c>
      <c r="P17" s="45"/>
    </row>
    <row r="18" s="37" customFormat="1" ht="13" customHeight="1" spans="1:16">
      <c r="A18" s="45">
        <v>15</v>
      </c>
      <c r="B18" s="45" t="s">
        <v>233</v>
      </c>
      <c r="C18" s="45" t="str">
        <f>VLOOKUP(B18,员工花名册!B17:H45,2,0)</f>
        <v>刘十五</v>
      </c>
      <c r="D18" s="45" t="str">
        <f ca="1">VLOOKUP(B18,员工花名册!B17:Z46,23,0)</f>
        <v>本科</v>
      </c>
      <c r="E18" s="47" t="s">
        <v>344</v>
      </c>
      <c r="F18" s="45" t="str">
        <f ca="1">VLOOKUP(B18,员工花名册!B17:AF46,24,0)</f>
        <v>西南大学</v>
      </c>
      <c r="G18" s="47" t="str">
        <f ca="1">VLOOKUP(B18,员工花名册!B17:AF46,25,0)</f>
        <v>艺术设计</v>
      </c>
      <c r="H18" s="48" t="s">
        <v>357</v>
      </c>
      <c r="I18" s="48" t="s">
        <v>343</v>
      </c>
      <c r="J18" s="45" t="s">
        <v>37</v>
      </c>
      <c r="K18" s="45" t="s">
        <v>344</v>
      </c>
      <c r="L18" s="45" t="s">
        <v>369</v>
      </c>
      <c r="M18" s="45" t="s">
        <v>327</v>
      </c>
      <c r="N18" s="48" t="s">
        <v>345</v>
      </c>
      <c r="O18" s="48" t="s">
        <v>358</v>
      </c>
      <c r="P18" s="45"/>
    </row>
  </sheetData>
  <mergeCells count="6">
    <mergeCell ref="D1:I1"/>
    <mergeCell ref="J1:O1"/>
    <mergeCell ref="A1:A2"/>
    <mergeCell ref="B1:B2"/>
    <mergeCell ref="C1:C2"/>
    <mergeCell ref="P1:P2"/>
  </mergeCells>
  <dataValidations count="4">
    <dataValidation type="list" allowBlank="1" showInputMessage="1" showErrorMessage="1" sqref="E4 E5 E8 E9 E10 E11 E12 E13 E14 E15 E16 E17 E18 E6:E7 K4:K5 K6:K18">
      <formula1>"全日制,非全日制"</formula1>
    </dataValidation>
    <dataValidation allowBlank="1" showInputMessage="1" showErrorMessage="1" sqref="G4 H4:I4 G5:G18 L9:L18 M9:M18"/>
    <dataValidation allowBlank="1" showInputMessage="1" showErrorMessage="1" sqref="M4 N4 O4 H18:I18 N18 O18 M5:M8 N5:N11 N12:N13 N14:N15 N16:N17 O5:O11 O12:O17 H5:I11 H12:I17"/>
    <dataValidation type="list" allowBlank="1" showInputMessage="1" showErrorMessage="1" sqref="J9 J10 J11 J12 J13 J14 J15 J16 J4:J8 J17:J18">
      <formula1>"博士后,博士,硕士,本科,大专,中专,高中,初中"</formula1>
    </dataValidation>
  </dataValidations>
  <pageMargins left="0.2354" right="0.0777777777777778" top="0.5156" bottom="1" header="0.5156" footer="0.5156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8"/>
  <sheetViews>
    <sheetView topLeftCell="A2" workbookViewId="0">
      <selection activeCell="H25" sqref="H25"/>
    </sheetView>
  </sheetViews>
  <sheetFormatPr defaultColWidth="9.714" defaultRowHeight="17.6"/>
  <cols>
    <col min="1" max="2" width="8" style="38" customWidth="1"/>
    <col min="3" max="3" width="11.4285714285714" style="38" customWidth="1"/>
    <col min="4" max="4" width="10.7857142857143" style="39" customWidth="1"/>
    <col min="5" max="5" width="9.577" style="39" customWidth="1"/>
    <col min="6" max="7" width="8.577" style="39" customWidth="1"/>
    <col min="8" max="8" width="10.6428571428571" style="38" customWidth="1"/>
    <col min="9" max="9" width="9.577" style="38" customWidth="1"/>
    <col min="10" max="11" width="8.577" style="38" customWidth="1"/>
    <col min="12" max="12" width="10.77" style="38" customWidth="1"/>
    <col min="13" max="13" width="9.577" style="38" customWidth="1"/>
    <col min="14" max="15" width="8.577" style="38" customWidth="1"/>
    <col min="16" max="16" width="10.6428571428571" style="38" customWidth="1"/>
    <col min="17" max="16384" width="9.714" style="38"/>
  </cols>
  <sheetData>
    <row r="1" s="36" customFormat="1" ht="21" customHeight="1" spans="1:16">
      <c r="A1" s="40" t="s">
        <v>53</v>
      </c>
      <c r="B1" s="40" t="s">
        <v>54</v>
      </c>
      <c r="C1" s="40" t="s">
        <v>55</v>
      </c>
      <c r="D1" s="41" t="s">
        <v>370</v>
      </c>
      <c r="E1" s="41"/>
      <c r="F1" s="41"/>
      <c r="G1" s="41"/>
      <c r="H1" s="41" t="s">
        <v>371</v>
      </c>
      <c r="I1" s="41"/>
      <c r="J1" s="41"/>
      <c r="K1" s="41"/>
      <c r="L1" s="41" t="s">
        <v>372</v>
      </c>
      <c r="M1" s="41"/>
      <c r="N1" s="41"/>
      <c r="O1" s="41"/>
      <c r="P1" s="40" t="s">
        <v>337</v>
      </c>
    </row>
    <row r="2" s="36" customFormat="1" ht="21" customHeight="1" spans="1:16">
      <c r="A2" s="42"/>
      <c r="B2" s="42"/>
      <c r="C2" s="42"/>
      <c r="D2" s="41" t="s">
        <v>373</v>
      </c>
      <c r="E2" s="41" t="s">
        <v>374</v>
      </c>
      <c r="F2" s="41" t="s">
        <v>58</v>
      </c>
      <c r="G2" s="41" t="s">
        <v>81</v>
      </c>
      <c r="H2" s="41" t="s">
        <v>373</v>
      </c>
      <c r="I2" s="41" t="s">
        <v>374</v>
      </c>
      <c r="J2" s="41" t="s">
        <v>58</v>
      </c>
      <c r="K2" s="41" t="s">
        <v>81</v>
      </c>
      <c r="L2" s="41" t="s">
        <v>373</v>
      </c>
      <c r="M2" s="41" t="s">
        <v>374</v>
      </c>
      <c r="N2" s="41" t="s">
        <v>58</v>
      </c>
      <c r="O2" s="41" t="s">
        <v>81</v>
      </c>
      <c r="P2" s="42"/>
    </row>
    <row r="3" s="37" customFormat="1" ht="13" customHeight="1" spans="1:16">
      <c r="A3" s="43" t="s">
        <v>93</v>
      </c>
      <c r="B3" s="43" t="s">
        <v>93</v>
      </c>
      <c r="C3" s="44" t="s">
        <v>94</v>
      </c>
      <c r="D3" s="43" t="s">
        <v>93</v>
      </c>
      <c r="E3" s="46" t="s">
        <v>93</v>
      </c>
      <c r="F3" s="46" t="s">
        <v>93</v>
      </c>
      <c r="G3" s="46" t="s">
        <v>93</v>
      </c>
      <c r="H3" s="46" t="s">
        <v>93</v>
      </c>
      <c r="I3" s="46" t="s">
        <v>93</v>
      </c>
      <c r="J3" s="46" t="s">
        <v>93</v>
      </c>
      <c r="K3" s="46" t="s">
        <v>93</v>
      </c>
      <c r="L3" s="46" t="s">
        <v>93</v>
      </c>
      <c r="M3" s="46" t="s">
        <v>93</v>
      </c>
      <c r="N3" s="46" t="s">
        <v>93</v>
      </c>
      <c r="O3" s="46" t="s">
        <v>93</v>
      </c>
      <c r="P3" s="43" t="s">
        <v>93</v>
      </c>
    </row>
    <row r="4" s="37" customFormat="1" ht="13" customHeight="1" spans="1:16">
      <c r="A4" s="45">
        <v>1</v>
      </c>
      <c r="B4" s="45" t="s">
        <v>95</v>
      </c>
      <c r="C4" s="45" t="str">
        <f ca="1">VLOOKUP(B4,员工花名册!B3:AP70,2,0)</f>
        <v>张一一</v>
      </c>
      <c r="D4" s="45" t="s">
        <v>375</v>
      </c>
      <c r="E4" s="47" t="s">
        <v>124</v>
      </c>
      <c r="F4" s="48" t="s">
        <v>376</v>
      </c>
      <c r="G4" s="48" t="s">
        <v>377</v>
      </c>
      <c r="H4" s="45" t="s">
        <v>378</v>
      </c>
      <c r="I4" s="47" t="s">
        <v>379</v>
      </c>
      <c r="J4" s="48" t="s">
        <v>380</v>
      </c>
      <c r="K4" s="48" t="s">
        <v>376</v>
      </c>
      <c r="L4" s="45" t="s">
        <v>381</v>
      </c>
      <c r="M4" s="47" t="s">
        <v>379</v>
      </c>
      <c r="N4" s="48" t="s">
        <v>382</v>
      </c>
      <c r="O4" s="48" t="s">
        <v>380</v>
      </c>
      <c r="P4" s="45"/>
    </row>
    <row r="5" s="37" customFormat="1" ht="13" customHeight="1" spans="1:16">
      <c r="A5" s="45">
        <v>2</v>
      </c>
      <c r="B5" s="45" t="s">
        <v>110</v>
      </c>
      <c r="C5" s="45" t="str">
        <f ca="1">VLOOKUP(B5,员工花名册!B3:AP70,2,0)</f>
        <v>刘二二</v>
      </c>
      <c r="D5" s="45" t="s">
        <v>383</v>
      </c>
      <c r="E5" s="47" t="s">
        <v>384</v>
      </c>
      <c r="F5" s="48" t="s">
        <v>385</v>
      </c>
      <c r="G5" s="48" t="s">
        <v>377</v>
      </c>
      <c r="H5" s="45" t="s">
        <v>386</v>
      </c>
      <c r="I5" s="47" t="s">
        <v>387</v>
      </c>
      <c r="J5" s="48" t="s">
        <v>388</v>
      </c>
      <c r="K5" s="48" t="s">
        <v>385</v>
      </c>
      <c r="L5" s="45" t="s">
        <v>389</v>
      </c>
      <c r="M5" s="47" t="s">
        <v>387</v>
      </c>
      <c r="N5" s="48" t="s">
        <v>351</v>
      </c>
      <c r="O5" s="48" t="s">
        <v>388</v>
      </c>
      <c r="P5" s="45"/>
    </row>
    <row r="6" s="37" customFormat="1" ht="13" customHeight="1" spans="1:16">
      <c r="A6" s="45">
        <v>3</v>
      </c>
      <c r="B6" s="45" t="s">
        <v>122</v>
      </c>
      <c r="C6" s="45" t="str">
        <f ca="1">VLOOKUP(B6,员工花名册!B3:AP70,2,0)</f>
        <v>王三三</v>
      </c>
      <c r="D6" s="45" t="s">
        <v>390</v>
      </c>
      <c r="E6" s="47" t="s">
        <v>379</v>
      </c>
      <c r="F6" s="48" t="s">
        <v>391</v>
      </c>
      <c r="G6" s="48" t="s">
        <v>392</v>
      </c>
      <c r="H6" s="45" t="s">
        <v>393</v>
      </c>
      <c r="I6" s="47" t="s">
        <v>379</v>
      </c>
      <c r="J6" s="48" t="s">
        <v>394</v>
      </c>
      <c r="K6" s="48" t="s">
        <v>391</v>
      </c>
      <c r="L6" s="45" t="s">
        <v>395</v>
      </c>
      <c r="M6" s="47" t="s">
        <v>379</v>
      </c>
      <c r="N6" s="48" t="s">
        <v>396</v>
      </c>
      <c r="O6" s="48" t="s">
        <v>394</v>
      </c>
      <c r="P6" s="45"/>
    </row>
    <row r="7" s="37" customFormat="1" ht="13" customHeight="1" spans="1:16">
      <c r="A7" s="45">
        <v>4</v>
      </c>
      <c r="B7" s="45" t="s">
        <v>133</v>
      </c>
      <c r="C7" s="45" t="str">
        <f ca="1">VLOOKUP(B7,员工花名册!B3:AP70,2,0)</f>
        <v>周四四</v>
      </c>
      <c r="D7" s="45" t="s">
        <v>397</v>
      </c>
      <c r="E7" s="47" t="s">
        <v>379</v>
      </c>
      <c r="F7" s="48" t="s">
        <v>398</v>
      </c>
      <c r="G7" s="48" t="s">
        <v>399</v>
      </c>
      <c r="H7" s="45" t="s">
        <v>400</v>
      </c>
      <c r="I7" s="47" t="s">
        <v>379</v>
      </c>
      <c r="J7" s="48" t="s">
        <v>401</v>
      </c>
      <c r="K7" s="48" t="s">
        <v>398</v>
      </c>
      <c r="L7" s="45" t="s">
        <v>402</v>
      </c>
      <c r="M7" s="47" t="s">
        <v>379</v>
      </c>
      <c r="N7" s="48" t="s">
        <v>403</v>
      </c>
      <c r="O7" s="48" t="s">
        <v>401</v>
      </c>
      <c r="P7" s="45"/>
    </row>
    <row r="8" s="37" customFormat="1" ht="13" customHeight="1" spans="1:16">
      <c r="A8" s="45">
        <v>5</v>
      </c>
      <c r="B8" s="45" t="s">
        <v>143</v>
      </c>
      <c r="C8" s="45" t="str">
        <f ca="1">VLOOKUP(B8,员工花名册!B3:AP70,2,0)</f>
        <v>赵五五</v>
      </c>
      <c r="D8" s="45" t="s">
        <v>404</v>
      </c>
      <c r="E8" s="47" t="s">
        <v>379</v>
      </c>
      <c r="F8" s="48" t="s">
        <v>385</v>
      </c>
      <c r="G8" s="48" t="s">
        <v>377</v>
      </c>
      <c r="H8" s="45" t="s">
        <v>405</v>
      </c>
      <c r="I8" s="47" t="s">
        <v>379</v>
      </c>
      <c r="J8" s="48" t="s">
        <v>406</v>
      </c>
      <c r="K8" s="48" t="s">
        <v>385</v>
      </c>
      <c r="L8" s="45" t="s">
        <v>407</v>
      </c>
      <c r="M8" s="47" t="s">
        <v>379</v>
      </c>
      <c r="N8" s="48" t="s">
        <v>408</v>
      </c>
      <c r="O8" s="48" t="s">
        <v>406</v>
      </c>
      <c r="P8" s="45"/>
    </row>
    <row r="9" s="37" customFormat="1" ht="13" customHeight="1" spans="1:16">
      <c r="A9" s="45">
        <v>6</v>
      </c>
      <c r="B9" s="45" t="s">
        <v>153</v>
      </c>
      <c r="C9" s="45" t="str">
        <f ca="1">VLOOKUP(B9,员工花名册!B3:AP70,2,0)</f>
        <v>陈六六</v>
      </c>
      <c r="D9" s="45" t="s">
        <v>409</v>
      </c>
      <c r="E9" s="47" t="s">
        <v>379</v>
      </c>
      <c r="F9" s="48" t="s">
        <v>348</v>
      </c>
      <c r="G9" s="48" t="s">
        <v>392</v>
      </c>
      <c r="H9" s="45" t="s">
        <v>410</v>
      </c>
      <c r="I9" s="47" t="s">
        <v>379</v>
      </c>
      <c r="J9" s="48" t="s">
        <v>411</v>
      </c>
      <c r="K9" s="48" t="s">
        <v>348</v>
      </c>
      <c r="L9" s="45" t="s">
        <v>412</v>
      </c>
      <c r="M9" s="47" t="s">
        <v>379</v>
      </c>
      <c r="N9" s="48" t="s">
        <v>346</v>
      </c>
      <c r="O9" s="48" t="s">
        <v>411</v>
      </c>
      <c r="P9" s="45"/>
    </row>
    <row r="10" s="37" customFormat="1" ht="13" customHeight="1" spans="1:16">
      <c r="A10" s="45">
        <v>7</v>
      </c>
      <c r="B10" s="45" t="s">
        <v>163</v>
      </c>
      <c r="C10" s="45" t="str">
        <f ca="1">VLOOKUP(B10,员工花名册!B3:AP70,2,0)</f>
        <v>方七七</v>
      </c>
      <c r="D10" s="45" t="s">
        <v>413</v>
      </c>
      <c r="E10" s="47" t="s">
        <v>379</v>
      </c>
      <c r="F10" s="48" t="s">
        <v>414</v>
      </c>
      <c r="G10" s="48" t="s">
        <v>415</v>
      </c>
      <c r="H10" s="45" t="s">
        <v>416</v>
      </c>
      <c r="I10" s="47" t="s">
        <v>379</v>
      </c>
      <c r="J10" s="48" t="s">
        <v>417</v>
      </c>
      <c r="K10" s="48" t="s">
        <v>414</v>
      </c>
      <c r="L10" s="45" t="s">
        <v>418</v>
      </c>
      <c r="M10" s="47" t="s">
        <v>379</v>
      </c>
      <c r="N10" s="48" t="s">
        <v>419</v>
      </c>
      <c r="O10" s="48" t="s">
        <v>417</v>
      </c>
      <c r="P10" s="45"/>
    </row>
    <row r="11" s="37" customFormat="1" ht="13" customHeight="1" spans="1:16">
      <c r="A11" s="45">
        <v>8</v>
      </c>
      <c r="B11" s="45" t="s">
        <v>170</v>
      </c>
      <c r="C11" s="45" t="str">
        <f ca="1">VLOOKUP(B11,员工花名册!B3:AP70,2,0)</f>
        <v>秦八八</v>
      </c>
      <c r="D11" s="45" t="s">
        <v>375</v>
      </c>
      <c r="E11" s="47" t="s">
        <v>379</v>
      </c>
      <c r="F11" s="48" t="s">
        <v>420</v>
      </c>
      <c r="G11" s="48" t="s">
        <v>343</v>
      </c>
      <c r="H11" s="45" t="s">
        <v>378</v>
      </c>
      <c r="I11" s="47" t="s">
        <v>379</v>
      </c>
      <c r="J11" s="48" t="s">
        <v>421</v>
      </c>
      <c r="K11" s="48" t="s">
        <v>420</v>
      </c>
      <c r="L11" s="45" t="s">
        <v>381</v>
      </c>
      <c r="M11" s="47" t="s">
        <v>379</v>
      </c>
      <c r="N11" s="48" t="s">
        <v>422</v>
      </c>
      <c r="O11" s="48" t="s">
        <v>421</v>
      </c>
      <c r="P11" s="45"/>
    </row>
    <row r="12" s="37" customFormat="1" ht="13" customHeight="1" spans="1:16">
      <c r="A12" s="45">
        <v>9</v>
      </c>
      <c r="B12" s="45" t="s">
        <v>179</v>
      </c>
      <c r="C12" s="45" t="str">
        <f ca="1">VLOOKUP(B12,员工花名册!B3:AP70,2,0)</f>
        <v>唐九九</v>
      </c>
      <c r="D12" s="45" t="s">
        <v>383</v>
      </c>
      <c r="E12" s="47" t="s">
        <v>379</v>
      </c>
      <c r="F12" s="48" t="s">
        <v>388</v>
      </c>
      <c r="G12" s="48" t="s">
        <v>423</v>
      </c>
      <c r="H12" s="45" t="s">
        <v>386</v>
      </c>
      <c r="I12" s="47" t="s">
        <v>379</v>
      </c>
      <c r="J12" s="48" t="s">
        <v>424</v>
      </c>
      <c r="K12" s="48" t="s">
        <v>388</v>
      </c>
      <c r="L12" s="45" t="s">
        <v>389</v>
      </c>
      <c r="M12" s="47" t="s">
        <v>379</v>
      </c>
      <c r="N12" s="48" t="s">
        <v>425</v>
      </c>
      <c r="O12" s="48" t="s">
        <v>424</v>
      </c>
      <c r="P12" s="45"/>
    </row>
    <row r="13" s="37" customFormat="1" ht="13" customHeight="1" spans="1:16">
      <c r="A13" s="45">
        <v>10</v>
      </c>
      <c r="B13" s="45" t="s">
        <v>189</v>
      </c>
      <c r="C13" s="45" t="str">
        <f ca="1">VLOOKUP(B13,员工花名册!B3:AP70,2,0)</f>
        <v>萧一十</v>
      </c>
      <c r="D13" s="45" t="s">
        <v>390</v>
      </c>
      <c r="E13" s="47" t="s">
        <v>379</v>
      </c>
      <c r="F13" s="48" t="s">
        <v>426</v>
      </c>
      <c r="G13" s="48" t="s">
        <v>427</v>
      </c>
      <c r="H13" s="45" t="s">
        <v>393</v>
      </c>
      <c r="I13" s="47" t="s">
        <v>379</v>
      </c>
      <c r="J13" s="48" t="s">
        <v>428</v>
      </c>
      <c r="K13" s="48" t="s">
        <v>426</v>
      </c>
      <c r="L13" s="45" t="s">
        <v>395</v>
      </c>
      <c r="M13" s="47" t="s">
        <v>379</v>
      </c>
      <c r="N13" s="48" t="s">
        <v>417</v>
      </c>
      <c r="O13" s="48" t="s">
        <v>428</v>
      </c>
      <c r="P13" s="45"/>
    </row>
    <row r="14" s="37" customFormat="1" ht="13" customHeight="1" spans="1:16">
      <c r="A14" s="45">
        <v>11</v>
      </c>
      <c r="B14" s="45" t="s">
        <v>199</v>
      </c>
      <c r="C14" s="45" t="str">
        <f ca="1">VLOOKUP(B14,员工花名册!B3:AP70,2,0)</f>
        <v>朱十一</v>
      </c>
      <c r="D14" s="45" t="s">
        <v>397</v>
      </c>
      <c r="E14" s="47" t="s">
        <v>379</v>
      </c>
      <c r="F14" s="48" t="s">
        <v>429</v>
      </c>
      <c r="G14" s="48" t="s">
        <v>430</v>
      </c>
      <c r="H14" s="45" t="s">
        <v>400</v>
      </c>
      <c r="I14" s="47" t="s">
        <v>431</v>
      </c>
      <c r="J14" s="48" t="s">
        <v>432</v>
      </c>
      <c r="K14" s="48" t="s">
        <v>429</v>
      </c>
      <c r="L14" s="45" t="s">
        <v>402</v>
      </c>
      <c r="M14" s="47" t="s">
        <v>431</v>
      </c>
      <c r="N14" s="48" t="s">
        <v>433</v>
      </c>
      <c r="O14" s="48" t="s">
        <v>432</v>
      </c>
      <c r="P14" s="45"/>
    </row>
    <row r="15" s="37" customFormat="1" ht="13" customHeight="1" spans="1:16">
      <c r="A15" s="45">
        <v>12</v>
      </c>
      <c r="B15" s="45" t="s">
        <v>209</v>
      </c>
      <c r="C15" s="45" t="str">
        <f ca="1">VLOOKUP(B15,员工花名册!B3:AP70,2,0)</f>
        <v>周十二</v>
      </c>
      <c r="D15" s="45" t="s">
        <v>404</v>
      </c>
      <c r="E15" s="47" t="s">
        <v>379</v>
      </c>
      <c r="F15" s="48" t="s">
        <v>398</v>
      </c>
      <c r="G15" s="48" t="s">
        <v>399</v>
      </c>
      <c r="H15" s="45" t="s">
        <v>405</v>
      </c>
      <c r="I15" s="47" t="s">
        <v>431</v>
      </c>
      <c r="J15" s="48" t="s">
        <v>401</v>
      </c>
      <c r="K15" s="48" t="s">
        <v>398</v>
      </c>
      <c r="L15" s="45" t="s">
        <v>407</v>
      </c>
      <c r="M15" s="47" t="s">
        <v>431</v>
      </c>
      <c r="N15" s="48" t="s">
        <v>403</v>
      </c>
      <c r="O15" s="48" t="s">
        <v>401</v>
      </c>
      <c r="P15" s="45"/>
    </row>
    <row r="16" s="37" customFormat="1" ht="13" customHeight="1" spans="1:16">
      <c r="A16" s="45">
        <v>13</v>
      </c>
      <c r="B16" s="45" t="s">
        <v>219</v>
      </c>
      <c r="C16" s="45" t="str">
        <f ca="1">VLOOKUP(B16,员工花名册!B3:AP70,2,0)</f>
        <v>庞十三</v>
      </c>
      <c r="D16" s="45" t="s">
        <v>409</v>
      </c>
      <c r="E16" s="47" t="s">
        <v>379</v>
      </c>
      <c r="F16" s="48" t="s">
        <v>385</v>
      </c>
      <c r="G16" s="48" t="s">
        <v>377</v>
      </c>
      <c r="H16" s="45" t="s">
        <v>410</v>
      </c>
      <c r="I16" s="47" t="s">
        <v>431</v>
      </c>
      <c r="J16" s="48" t="s">
        <v>406</v>
      </c>
      <c r="K16" s="48" t="s">
        <v>385</v>
      </c>
      <c r="L16" s="45" t="s">
        <v>412</v>
      </c>
      <c r="M16" s="47" t="s">
        <v>431</v>
      </c>
      <c r="N16" s="48" t="s">
        <v>408</v>
      </c>
      <c r="O16" s="48" t="s">
        <v>406</v>
      </c>
      <c r="P16" s="45"/>
    </row>
    <row r="17" s="37" customFormat="1" ht="14" customHeight="1" spans="1:16">
      <c r="A17" s="45">
        <v>14</v>
      </c>
      <c r="B17" s="45" t="s">
        <v>226</v>
      </c>
      <c r="C17" s="45" t="str">
        <f ca="1">VLOOKUP(B17,员工花名册!B3:AP70,2,0)</f>
        <v>方十四</v>
      </c>
      <c r="D17" s="45" t="s">
        <v>413</v>
      </c>
      <c r="E17" s="47" t="s">
        <v>379</v>
      </c>
      <c r="F17" s="48" t="s">
        <v>348</v>
      </c>
      <c r="G17" s="48" t="s">
        <v>392</v>
      </c>
      <c r="H17" s="45" t="s">
        <v>434</v>
      </c>
      <c r="I17" s="47" t="s">
        <v>431</v>
      </c>
      <c r="J17" s="48" t="s">
        <v>411</v>
      </c>
      <c r="K17" s="48" t="s">
        <v>348</v>
      </c>
      <c r="L17" s="45" t="s">
        <v>418</v>
      </c>
      <c r="M17" s="47" t="s">
        <v>431</v>
      </c>
      <c r="N17" s="48" t="s">
        <v>346</v>
      </c>
      <c r="O17" s="48" t="s">
        <v>411</v>
      </c>
      <c r="P17" s="45"/>
    </row>
    <row r="18" s="37" customFormat="1" ht="13" customHeight="1" spans="1:16">
      <c r="A18" s="45">
        <v>15</v>
      </c>
      <c r="B18" s="45" t="s">
        <v>233</v>
      </c>
      <c r="C18" s="45" t="str">
        <f ca="1">VLOOKUP(B18,员工花名册!B3:AP70,2,0)</f>
        <v>刘十五</v>
      </c>
      <c r="D18" s="45" t="s">
        <v>435</v>
      </c>
      <c r="E18" s="47" t="s">
        <v>379</v>
      </c>
      <c r="F18" s="48" t="s">
        <v>436</v>
      </c>
      <c r="G18" s="48" t="s">
        <v>399</v>
      </c>
      <c r="H18" s="45" t="s">
        <v>437</v>
      </c>
      <c r="I18" s="47" t="s">
        <v>431</v>
      </c>
      <c r="J18" s="48" t="s">
        <v>417</v>
      </c>
      <c r="K18" s="48" t="s">
        <v>436</v>
      </c>
      <c r="L18" s="45" t="s">
        <v>438</v>
      </c>
      <c r="M18" s="47" t="s">
        <v>431</v>
      </c>
      <c r="N18" s="48" t="s">
        <v>419</v>
      </c>
      <c r="O18" s="48" t="s">
        <v>417</v>
      </c>
      <c r="P18" s="45"/>
    </row>
  </sheetData>
  <mergeCells count="7">
    <mergeCell ref="D1:G1"/>
    <mergeCell ref="H1:K1"/>
    <mergeCell ref="L1:O1"/>
    <mergeCell ref="A1:A2"/>
    <mergeCell ref="B1:B2"/>
    <mergeCell ref="C1:C2"/>
    <mergeCell ref="P1:P2"/>
  </mergeCells>
  <dataValidations count="2">
    <dataValidation allowBlank="1" showInputMessage="1" showErrorMessage="1" sqref="J4 N4 J5 N5 F18:G18 E4:E5 E6:E18 I4:I5 I6:I13 I14:I18 J6:J7 J11:J12 J13:J14 N6:N7 N8:N10 N11:N12 N13:N14 E19:O20 F4:G5 F6:G7 F10:G12 F13:G14"/>
    <dataValidation allowBlank="1" showInputMessage="1" showErrorMessage="1" sqref="O4 O5 F15:G15 J15 K15 N15 O15 K18 J8:J10 J16:J18 K4:K5 K6:K7 K8:K9 K10:K12 K13:K14 K16:K17 M4:M5 M6:M13 M14:M18 N16:N18 O6:O7 O8:O10 O11:O12 O13:O14 O16:O18 F8:G9 F16:G17"/>
  </dataValidations>
  <pageMargins left="0.1556" right="0.1556" top="0.3889" bottom="1" header="0.3889" footer="0.5156"/>
  <pageSetup paperSize="9" scale="9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7"/>
  <sheetViews>
    <sheetView topLeftCell="A25" workbookViewId="0">
      <selection activeCell="I5" sqref="I5"/>
    </sheetView>
  </sheetViews>
  <sheetFormatPr defaultColWidth="9.714" defaultRowHeight="25" customHeight="1" outlineLevelCol="7"/>
  <cols>
    <col min="1" max="1" width="5.5" style="5" customWidth="1"/>
    <col min="2" max="2" width="13.4285714285714" style="5" customWidth="1"/>
    <col min="3" max="3" width="13.6428571428571" style="6" customWidth="1"/>
    <col min="4" max="4" width="13.4285714285714" style="5" customWidth="1"/>
    <col min="5" max="5" width="13.6428571428571" style="5" customWidth="1"/>
    <col min="6" max="6" width="12.3571428571429" style="5" customWidth="1"/>
    <col min="7" max="7" width="16.07" style="5" customWidth="1"/>
    <col min="8" max="8" width="8.577" style="5" customWidth="1"/>
    <col min="9" max="16384" width="9.714" style="5"/>
  </cols>
  <sheetData>
    <row r="1" customHeight="1" spans="2:3">
      <c r="B1" s="7" t="s">
        <v>439</v>
      </c>
      <c r="C1" s="8" t="s">
        <v>96</v>
      </c>
    </row>
    <row r="2" s="3" customFormat="1" ht="33" customHeight="1" spans="1:8">
      <c r="A2" s="9" t="s">
        <v>440</v>
      </c>
      <c r="B2" s="9"/>
      <c r="C2" s="10"/>
      <c r="D2" s="9"/>
      <c r="E2" s="9"/>
      <c r="F2" s="9"/>
      <c r="G2" s="9"/>
      <c r="H2" s="9"/>
    </row>
    <row r="3" s="4" customFormat="1" customHeight="1" spans="1:8">
      <c r="A3" s="11" t="s">
        <v>441</v>
      </c>
      <c r="B3" s="12" t="s">
        <v>55</v>
      </c>
      <c r="C3" s="13" t="str">
        <f ca="1">VLOOKUP(C1,员工花名册!C3:AP32,1,0)</f>
        <v>张一一</v>
      </c>
      <c r="D3" s="14" t="s">
        <v>2</v>
      </c>
      <c r="E3" s="15" t="str">
        <f ca="1">VLOOKUP(C1,员工花名册!C3:AP32,2,0)</f>
        <v>男</v>
      </c>
      <c r="F3" s="13" t="s">
        <v>66</v>
      </c>
      <c r="G3" s="12">
        <f ca="1">VLOOKUP(C1,员工花名册!C3:AP32,13,0)</f>
        <v>48</v>
      </c>
      <c r="H3" s="12"/>
    </row>
    <row r="4" s="4" customFormat="1" customHeight="1" spans="1:8">
      <c r="A4" s="11"/>
      <c r="B4" s="14" t="s">
        <v>65</v>
      </c>
      <c r="C4" s="15" t="str">
        <f ca="1">VLOOKUP(C1,员工花名册!C3:AP32,12,0)</f>
        <v>12月16日</v>
      </c>
      <c r="D4" s="13" t="s">
        <v>67</v>
      </c>
      <c r="E4" s="12" t="str">
        <f ca="1">VLOOKUP(C1,员工花名册!C3:AP32,15,0)</f>
        <v>广东省</v>
      </c>
      <c r="F4" s="27" t="s">
        <v>70</v>
      </c>
      <c r="G4" s="28" t="str">
        <f ca="1">VLOOKUP(C1,员工花名册!C3:AP32,18,0)</f>
        <v>汉</v>
      </c>
      <c r="H4" s="28"/>
    </row>
    <row r="5" s="4" customFormat="1" customHeight="1" spans="1:8">
      <c r="A5" s="11"/>
      <c r="B5" s="14" t="s">
        <v>15</v>
      </c>
      <c r="C5" s="15" t="str">
        <f ca="1">VLOOKUP(C1,员工花名册!C3:AP32,19,0)</f>
        <v>党员</v>
      </c>
      <c r="D5" s="13" t="s">
        <v>16</v>
      </c>
      <c r="E5" s="12" t="str">
        <f ca="1">VLOOKUP(C1,员工花名册!C3:AP32,14,0)</f>
        <v>已婚</v>
      </c>
      <c r="F5" s="29" t="s">
        <v>71</v>
      </c>
      <c r="G5" s="12" t="str">
        <f ca="1">VLOOKUP(C1,员工花名册!C3:AP32,20,0)</f>
        <v>高级</v>
      </c>
      <c r="H5" s="12"/>
    </row>
    <row r="6" s="4" customFormat="1" customHeight="1" spans="1:8">
      <c r="A6" s="11"/>
      <c r="B6" s="13" t="s">
        <v>72</v>
      </c>
      <c r="C6" s="15" t="str">
        <f ca="1">VLOOKUP(C1,员工花名册!C3:AP32,21,0)</f>
        <v>高级工程师</v>
      </c>
      <c r="D6" s="13" t="s">
        <v>75</v>
      </c>
      <c r="E6" s="12" t="str">
        <f ca="1">VLOOKUP(C1,员工花名册!C3:AP32,25,0)</f>
        <v>英语</v>
      </c>
      <c r="F6" s="27" t="s">
        <v>76</v>
      </c>
      <c r="G6" s="16" t="str">
        <f ca="1">VLOOKUP(C1,员工花名册!C3:AP32,26,0)</f>
        <v>CET-4</v>
      </c>
      <c r="H6" s="16"/>
    </row>
    <row r="7" s="4" customFormat="1" customHeight="1" spans="1:8">
      <c r="A7" s="11"/>
      <c r="B7" s="14" t="s">
        <v>88</v>
      </c>
      <c r="C7" s="15" t="str">
        <f ca="1">VLOOKUP(C1,员工花名册!C3:AP32,39,0)</f>
        <v>工商银行</v>
      </c>
      <c r="D7" s="13" t="s">
        <v>89</v>
      </c>
      <c r="E7" s="12">
        <f ca="1">VLOOKUP(C1,员工花名册!C3:AP32,40,0)</f>
        <v>6000000001</v>
      </c>
      <c r="F7" s="12"/>
      <c r="G7" s="12"/>
      <c r="H7" s="12"/>
    </row>
    <row r="8" s="4" customFormat="1" customHeight="1" spans="1:8">
      <c r="A8" s="11"/>
      <c r="B8" s="14" t="s">
        <v>442</v>
      </c>
      <c r="C8" s="15" t="str">
        <f ca="1">VLOOKUP(C1,员工花名册!C3:AP32,11,0)</f>
        <v>0004270</v>
      </c>
      <c r="D8" s="13"/>
      <c r="E8" s="13"/>
      <c r="F8" s="13" t="s">
        <v>77</v>
      </c>
      <c r="G8" s="13">
        <f ca="1">VLOOKUP(C1,员工花名册!C3:AP32,27,0)</f>
        <v>12345678910</v>
      </c>
      <c r="H8" s="13"/>
    </row>
    <row r="9" s="4" customFormat="1" customHeight="1" spans="1:8">
      <c r="A9" s="11"/>
      <c r="B9" s="14" t="s">
        <v>443</v>
      </c>
      <c r="C9" s="15" t="str">
        <f ca="1">VLOOKUP(C1,员工花名册!C3:AP32,16,0)</f>
        <v>广东省深圳市南山区</v>
      </c>
      <c r="D9" s="13"/>
      <c r="E9" s="13"/>
      <c r="F9" s="13" t="s">
        <v>78</v>
      </c>
      <c r="G9" s="13" t="str">
        <f ca="1">VLOOKUP(C1,员工花名册!C3:AP32,28,0)</f>
        <v>名字1</v>
      </c>
      <c r="H9" s="13"/>
    </row>
    <row r="10" s="4" customFormat="1" customHeight="1" spans="1:8">
      <c r="A10" s="11"/>
      <c r="B10" s="14" t="s">
        <v>444</v>
      </c>
      <c r="C10" s="15" t="str">
        <f ca="1">VLOOKUP(C1,员工花名册!C3:AP32,17,0)</f>
        <v>广东省深圳市南山区</v>
      </c>
      <c r="D10" s="13"/>
      <c r="E10" s="13"/>
      <c r="F10" s="13" t="s">
        <v>79</v>
      </c>
      <c r="G10" s="13">
        <f ca="1">VLOOKUP(C1,员工花名册!C3:AP32,29,0)</f>
        <v>12345678940</v>
      </c>
      <c r="H10" s="13"/>
    </row>
    <row r="11" s="4" customFormat="1" customHeight="1" spans="1:8">
      <c r="A11" s="11" t="s">
        <v>445</v>
      </c>
      <c r="B11" s="14" t="s">
        <v>339</v>
      </c>
      <c r="C11" s="15" t="s">
        <v>340</v>
      </c>
      <c r="D11" s="13" t="s">
        <v>73</v>
      </c>
      <c r="E11" s="30"/>
      <c r="F11" s="13" t="s">
        <v>25</v>
      </c>
      <c r="G11" s="13" t="s">
        <v>74</v>
      </c>
      <c r="H11" s="13" t="s">
        <v>338</v>
      </c>
    </row>
    <row r="12" s="4" customFormat="1" customHeight="1" spans="1:8">
      <c r="A12" s="11"/>
      <c r="B12" s="16" t="str">
        <f ca="1">VLOOKUP(C1,教育经历!C4:O18,6,0)</f>
        <v>2017/09</v>
      </c>
      <c r="C12" s="17" t="str">
        <f ca="1">VLOOKUP(C1,教育经历!C4:O18,7,0)</f>
        <v>2020/06</v>
      </c>
      <c r="D12" s="13" t="str">
        <f ca="1">VLOOKUP(C1,教育经历!C4:O18,4,0)</f>
        <v>深圳大学</v>
      </c>
      <c r="E12" s="13"/>
      <c r="F12" s="13" t="str">
        <f ca="1">VLOOKUP(C1,教育经历!C4:O18,2,0)</f>
        <v>硕士</v>
      </c>
      <c r="G12" s="21" t="str">
        <f ca="1">VLOOKUP(C1,教育经历!C4:O18,5,0)</f>
        <v>工商管理</v>
      </c>
      <c r="H12" s="13" t="str">
        <f ca="1">VLOOKUP(C1,教育经历!C4:O18,3,0)</f>
        <v>非全日制</v>
      </c>
    </row>
    <row r="13" s="4" customFormat="1" customHeight="1" spans="1:8">
      <c r="A13" s="11"/>
      <c r="B13" s="16" t="str">
        <f ca="1">VLOOKUP(C1,教育经历!C4:O18,12,0)</f>
        <v>2013/09</v>
      </c>
      <c r="C13" s="16" t="str">
        <f ca="1">VLOOKUP(C1,教育经历!C4:O18,13,0)</f>
        <v>2017/06</v>
      </c>
      <c r="D13" s="13" t="str">
        <f ca="1">VLOOKUP(C1,教育经历!C4:O18,10,0)</f>
        <v>深圳大学</v>
      </c>
      <c r="E13" s="13"/>
      <c r="F13" s="13" t="str">
        <f ca="1">VLOOKUP(C1,教育经历!C4:O18,8,0)</f>
        <v>本科</v>
      </c>
      <c r="G13" s="21" t="str">
        <f ca="1">VLOOKUP(C1,教育经历!C4:O18,11,0)</f>
        <v>工商管理</v>
      </c>
      <c r="H13" s="13" t="str">
        <f ca="1">VLOOKUP(C1,教育经历!C4:O18,9,0)</f>
        <v>全日制</v>
      </c>
    </row>
    <row r="14" s="4" customFormat="1" customHeight="1" spans="1:8">
      <c r="A14" s="11"/>
      <c r="B14" s="18"/>
      <c r="C14" s="17"/>
      <c r="D14" s="13"/>
      <c r="E14" s="13"/>
      <c r="F14" s="13"/>
      <c r="G14" s="21"/>
      <c r="H14" s="13"/>
    </row>
    <row r="15" s="4" customFormat="1" customHeight="1" spans="1:8">
      <c r="A15" s="11"/>
      <c r="B15" s="18"/>
      <c r="C15" s="17"/>
      <c r="D15" s="13"/>
      <c r="E15" s="13"/>
      <c r="F15" s="13"/>
      <c r="G15" s="21"/>
      <c r="H15" s="13"/>
    </row>
    <row r="16" s="4" customFormat="1" customHeight="1" spans="1:8">
      <c r="A16" s="11" t="s">
        <v>446</v>
      </c>
      <c r="B16" s="19" t="s">
        <v>58</v>
      </c>
      <c r="C16" s="17" t="s">
        <v>81</v>
      </c>
      <c r="D16" s="13" t="s">
        <v>373</v>
      </c>
      <c r="E16" s="13"/>
      <c r="F16" s="27" t="s">
        <v>374</v>
      </c>
      <c r="G16" s="29" t="s">
        <v>337</v>
      </c>
      <c r="H16" s="29"/>
    </row>
    <row r="17" s="4" customFormat="1" customHeight="1" spans="1:8">
      <c r="A17" s="11"/>
      <c r="B17" s="20" t="str">
        <f ca="1">VLOOKUP(C1,工作经历!C4:P18,4,0)</f>
        <v>2010/05</v>
      </c>
      <c r="C17" s="17" t="str">
        <f ca="1">VLOOKUP(C1,工作经历!C4:P18,5,0)</f>
        <v>2020/10</v>
      </c>
      <c r="D17" s="21" t="str">
        <f ca="1">VLOOKUP(C1,工作经历!C4:P18,2,0)</f>
        <v>广东XX公司</v>
      </c>
      <c r="E17" s="21"/>
      <c r="F17" s="16" t="str">
        <f ca="1">VLOOKUP(C1,工作经历!C4:P18,3,0)</f>
        <v>总经理</v>
      </c>
      <c r="G17" s="16"/>
      <c r="H17" s="16"/>
    </row>
    <row r="18" s="4" customFormat="1" customHeight="1" spans="1:8">
      <c r="A18" s="11"/>
      <c r="B18" s="20" t="str">
        <f ca="1">VLOOKUP(C1,工作经历!C4:P18,8,0)</f>
        <v>2003/11</v>
      </c>
      <c r="C18" s="17" t="str">
        <f ca="1">VLOOKUP(C1,工作经历!C4:P18,9,0)</f>
        <v>2010/05</v>
      </c>
      <c r="D18" s="21" t="str">
        <f ca="1">VLOOKUP(C1,工作经历!C4:P18,6,0)</f>
        <v>广东省X公司</v>
      </c>
      <c r="E18" s="21"/>
      <c r="F18" s="16" t="str">
        <f ca="1">VLOOKUP(C1,工作经历!C4:P18,7,0)</f>
        <v>经理</v>
      </c>
      <c r="G18" s="16"/>
      <c r="H18" s="16"/>
    </row>
    <row r="19" s="4" customFormat="1" customHeight="1" spans="1:8">
      <c r="A19" s="11"/>
      <c r="B19" s="20" t="str">
        <f ca="1">VLOOKUP(C1,工作经历!C4:P18,12,0)</f>
        <v>2001/10</v>
      </c>
      <c r="C19" s="17" t="str">
        <f ca="1">VLOOKUP(C1,工作经历!C4:P18,13,0)</f>
        <v>2003/11</v>
      </c>
      <c r="D19" s="21" t="str">
        <f ca="1">VLOOKUP(C1,工作经历!C4:P18,10,0)</f>
        <v>广东X公司</v>
      </c>
      <c r="E19" s="21"/>
      <c r="F19" s="16" t="str">
        <f ca="1">VLOOKUP(C1,工作经历!C4:P18,11,0)</f>
        <v>经理</v>
      </c>
      <c r="G19" s="16"/>
      <c r="H19" s="16"/>
    </row>
    <row r="20" s="4" customFormat="1" customHeight="1" spans="1:8">
      <c r="A20" s="22" t="s">
        <v>447</v>
      </c>
      <c r="B20" s="14" t="s">
        <v>58</v>
      </c>
      <c r="C20" s="23">
        <f ca="1">VLOOKUP(C1,员工花名册!C3:AP32,5,0)</f>
        <v>41760</v>
      </c>
      <c r="D20" s="13" t="s">
        <v>59</v>
      </c>
      <c r="E20" s="23">
        <f ca="1">VLOOKUP(C1,员工花名册!C3:AP32,6,0)</f>
        <v>41852</v>
      </c>
      <c r="F20" s="27" t="s">
        <v>81</v>
      </c>
      <c r="G20" s="31">
        <f ca="1">VLOOKUP(C1,员工花名册!C3:AP87,31,0)</f>
        <v>0</v>
      </c>
      <c r="H20" s="32"/>
    </row>
    <row r="21" s="4" customFormat="1" customHeight="1" spans="1:8">
      <c r="A21" s="22"/>
      <c r="B21" s="14" t="s">
        <v>56</v>
      </c>
      <c r="C21" s="17" t="str">
        <f ca="1">VLOOKUP(C1,员工花名册!C3:AP32,3,0)</f>
        <v>总经办</v>
      </c>
      <c r="D21" s="13" t="s">
        <v>374</v>
      </c>
      <c r="E21" s="33" t="str">
        <f ca="1">VLOOKUP(C1,员工花名册!C3:AP32,4,0)</f>
        <v>董事长</v>
      </c>
      <c r="F21" s="13" t="s">
        <v>63</v>
      </c>
      <c r="G21" s="34">
        <f ca="1">VLOOKUP(C1,员工花名册!C3:AP87,10,0)</f>
        <v>7.09103353867214</v>
      </c>
      <c r="H21" s="34"/>
    </row>
    <row r="22" s="4" customFormat="1" customHeight="1" spans="1:8">
      <c r="A22" s="22"/>
      <c r="B22" s="14" t="s">
        <v>448</v>
      </c>
      <c r="C22" s="23">
        <f ca="1">VLOOKUP(C1,员工花名册!C3:AP87,5,0)</f>
        <v>41760</v>
      </c>
      <c r="D22" s="13" t="s">
        <v>449</v>
      </c>
      <c r="E22" s="23">
        <f ca="1">VLOOKUP(C1,员工花名册!C3:AP87,8,0)</f>
        <v>43585</v>
      </c>
      <c r="F22" s="27" t="s">
        <v>450</v>
      </c>
      <c r="G22" s="16" t="str">
        <f ca="1">VLOOKUP(C1,员工花名册!C3:AP87,9,0)</f>
        <v>已过期765天</v>
      </c>
      <c r="H22" s="16"/>
    </row>
    <row r="23" s="4" customFormat="1" customHeight="1" spans="1:8">
      <c r="A23" s="11" t="s">
        <v>451</v>
      </c>
      <c r="B23" s="14" t="s">
        <v>452</v>
      </c>
      <c r="C23" s="17">
        <f ca="1">VLOOKUP(C1,员工花名册!C3:AP87,33,0)</f>
        <v>1122333</v>
      </c>
      <c r="D23" s="13" t="s">
        <v>84</v>
      </c>
      <c r="E23" s="23">
        <f ca="1">VLOOKUP(C1,员工花名册!C3:AP87,34,0)</f>
        <v>41774</v>
      </c>
      <c r="F23" s="12" t="s">
        <v>85</v>
      </c>
      <c r="G23" s="31">
        <f ca="1">VLOOKUP(C1,员工花名册!C3:AP87,35,0)</f>
        <v>0</v>
      </c>
      <c r="H23" s="32"/>
    </row>
    <row r="24" s="4" customFormat="1" customHeight="1" spans="1:8">
      <c r="A24" s="11"/>
      <c r="B24" s="14" t="s">
        <v>453</v>
      </c>
      <c r="C24" s="17">
        <f ca="1">VLOOKUP(C1,员工花名册!C3:AP87,36,0)</f>
        <v>112329</v>
      </c>
      <c r="D24" s="21" t="s">
        <v>84</v>
      </c>
      <c r="E24" s="23">
        <f ca="1">VLOOKUP(C1,员工花名册!C3:AP87,37,0)</f>
        <v>41774</v>
      </c>
      <c r="F24" s="21" t="s">
        <v>87</v>
      </c>
      <c r="G24" s="31">
        <f ca="1">VLOOKUP(C1,员工花名册!C3:AP87,38,0)</f>
        <v>0</v>
      </c>
      <c r="H24" s="32"/>
    </row>
    <row r="25" s="4" customFormat="1" ht="56" customHeight="1" spans="1:8">
      <c r="A25" s="11"/>
      <c r="B25" s="14" t="s">
        <v>90</v>
      </c>
      <c r="C25" s="24">
        <f ca="1">VLOOKUP(C1,员工花名册!C3:AS32,41,0)</f>
        <v>0</v>
      </c>
      <c r="D25" s="25"/>
      <c r="E25" s="25"/>
      <c r="F25" s="25"/>
      <c r="G25" s="25"/>
      <c r="H25" s="35"/>
    </row>
    <row r="26" s="4" customFormat="1" ht="56" customHeight="1" spans="1:8">
      <c r="A26" s="11"/>
      <c r="B26" s="14" t="s">
        <v>91</v>
      </c>
      <c r="C26" s="26">
        <f ca="1">VLOOKUP(C1,员工花名册!C3:AS32,42,0)</f>
        <v>0</v>
      </c>
      <c r="D26" s="26"/>
      <c r="E26" s="26"/>
      <c r="F26" s="26"/>
      <c r="G26" s="26"/>
      <c r="H26" s="26"/>
    </row>
    <row r="27" s="4" customFormat="1" ht="56" customHeight="1" spans="1:8">
      <c r="A27" s="11"/>
      <c r="B27" s="14" t="s">
        <v>92</v>
      </c>
      <c r="C27" s="26">
        <f ca="1">VLOOKUP(C1,员工花名册!C3:AS32,43,0)</f>
        <v>0</v>
      </c>
      <c r="D27" s="26"/>
      <c r="E27" s="26"/>
      <c r="F27" s="26"/>
      <c r="G27" s="26"/>
      <c r="H27" s="26"/>
    </row>
  </sheetData>
  <mergeCells count="38">
    <mergeCell ref="A2:H2"/>
    <mergeCell ref="G3:H3"/>
    <mergeCell ref="G4:H4"/>
    <mergeCell ref="G5:H5"/>
    <mergeCell ref="G6:H6"/>
    <mergeCell ref="E7:H7"/>
    <mergeCell ref="C8:E8"/>
    <mergeCell ref="G8:H8"/>
    <mergeCell ref="C9:E9"/>
    <mergeCell ref="G9:H9"/>
    <mergeCell ref="C10:E10"/>
    <mergeCell ref="G10:H10"/>
    <mergeCell ref="D11:E11"/>
    <mergeCell ref="D12:E12"/>
    <mergeCell ref="D13:E13"/>
    <mergeCell ref="D14:E14"/>
    <mergeCell ref="D15:E15"/>
    <mergeCell ref="D16:E16"/>
    <mergeCell ref="G16:H16"/>
    <mergeCell ref="D17:E17"/>
    <mergeCell ref="G17:H17"/>
    <mergeCell ref="D18:E18"/>
    <mergeCell ref="G18:H18"/>
    <mergeCell ref="D19:E19"/>
    <mergeCell ref="G19:H19"/>
    <mergeCell ref="G20:H20"/>
    <mergeCell ref="G21:H21"/>
    <mergeCell ref="G22:H22"/>
    <mergeCell ref="G23:H23"/>
    <mergeCell ref="G24:H24"/>
    <mergeCell ref="C25:H25"/>
    <mergeCell ref="C26:H26"/>
    <mergeCell ref="C27:H27"/>
    <mergeCell ref="A3:A10"/>
    <mergeCell ref="A11:A15"/>
    <mergeCell ref="A16:A19"/>
    <mergeCell ref="A20:A22"/>
    <mergeCell ref="A23:A27"/>
  </mergeCells>
  <conditionalFormatting sqref="E20">
    <cfRule type="cellIs" dxfId="4" priority="13" stopIfTrue="1" operator="lessThan">
      <formula>367</formula>
    </cfRule>
  </conditionalFormatting>
  <conditionalFormatting sqref="G20">
    <cfRule type="cellIs" dxfId="4" priority="9" stopIfTrue="1" operator="lessThan">
      <formula>367</formula>
    </cfRule>
  </conditionalFormatting>
  <conditionalFormatting sqref="E21">
    <cfRule type="cellIs" dxfId="5" priority="14" stopIfTrue="1" operator="equal">
      <formula>"离职"</formula>
    </cfRule>
  </conditionalFormatting>
  <conditionalFormatting sqref="C22">
    <cfRule type="cellIs" dxfId="4" priority="12" stopIfTrue="1" operator="lessThan">
      <formula>367</formula>
    </cfRule>
  </conditionalFormatting>
  <conditionalFormatting sqref="E22">
    <cfRule type="cellIs" dxfId="4" priority="11" stopIfTrue="1" operator="lessThan">
      <formula>367</formula>
    </cfRule>
    <cfRule type="cellIs" dxfId="4" priority="10" stopIfTrue="1" operator="lessThan">
      <formula>367</formula>
    </cfRule>
  </conditionalFormatting>
  <conditionalFormatting sqref="E23">
    <cfRule type="cellIs" dxfId="4" priority="8" stopIfTrue="1" operator="lessThan">
      <formula>367</formula>
    </cfRule>
    <cfRule type="cellIs" dxfId="4" priority="7" stopIfTrue="1" operator="lessThan">
      <formula>367</formula>
    </cfRule>
  </conditionalFormatting>
  <conditionalFormatting sqref="G23">
    <cfRule type="cellIs" dxfId="4" priority="6" stopIfTrue="1" operator="lessThan">
      <formula>367</formula>
    </cfRule>
    <cfRule type="cellIs" dxfId="4" priority="5" stopIfTrue="1" operator="lessThan">
      <formula>367</formula>
    </cfRule>
  </conditionalFormatting>
  <conditionalFormatting sqref="E24">
    <cfRule type="cellIs" dxfId="4" priority="4" stopIfTrue="1" operator="lessThan">
      <formula>367</formula>
    </cfRule>
    <cfRule type="cellIs" dxfId="4" priority="3" stopIfTrue="1" operator="lessThan">
      <formula>367</formula>
    </cfRule>
  </conditionalFormatting>
  <conditionalFormatting sqref="G24">
    <cfRule type="cellIs" dxfId="4" priority="2" stopIfTrue="1" operator="lessThan">
      <formula>367</formula>
    </cfRule>
    <cfRule type="cellIs" dxfId="4" priority="1" stopIfTrue="1" operator="lessThan">
      <formula>367</formula>
    </cfRule>
  </conditionalFormatting>
  <conditionalFormatting sqref="B17:C19 C20:C22 E22">
    <cfRule type="cellIs" dxfId="4" priority="15" stopIfTrue="1" operator="lessThan">
      <formula>367</formula>
    </cfRule>
  </conditionalFormatting>
  <dataValidations count="2">
    <dataValidation type="list" allowBlank="1" showInputMessage="1" showErrorMessage="1" sqref="C1">
      <formula1>员工花名册!$C$3:$C$32</formula1>
    </dataValidation>
    <dataValidation allowBlank="1" showInputMessage="1" showErrorMessage="1" sqref="G22 G3:G6 G16:G19 G20:G21"/>
  </dataValidations>
  <printOptions horizontalCentered="1"/>
  <pageMargins left="0.393055555555556" right="0.1556" top="0.55" bottom="0.3889" header="0.5156" footer="0.3889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6"/>
  <sheetViews>
    <sheetView workbookViewId="0">
      <selection activeCell="A13" sqref="A13"/>
    </sheetView>
  </sheetViews>
  <sheetFormatPr defaultColWidth="9.714" defaultRowHeight="17.6" outlineLevelRow="5"/>
  <cols>
    <col min="1" max="1" width="93.07" customWidth="1"/>
  </cols>
  <sheetData>
    <row r="1" ht="26" customHeight="1" spans="1:1">
      <c r="A1" s="1" t="s">
        <v>454</v>
      </c>
    </row>
    <row r="2" spans="1:1">
      <c r="A2" s="2" t="s">
        <v>455</v>
      </c>
    </row>
    <row r="3" spans="1:1">
      <c r="A3" s="2" t="s">
        <v>456</v>
      </c>
    </row>
    <row r="4" spans="1:1">
      <c r="A4" s="2" t="s">
        <v>457</v>
      </c>
    </row>
    <row r="5" spans="1:1">
      <c r="A5" s="2" t="s">
        <v>458</v>
      </c>
    </row>
    <row r="6" spans="1:1">
      <c r="A6" s="2" t="s">
        <v>459</v>
      </c>
    </row>
  </sheetData>
  <printOptions horizontalCentered="1"/>
  <pageMargins left="0.393055555555556" right="0.432638888888889" top="0.5156" bottom="1" header="0.5156" footer="0.51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主页</vt:lpstr>
      <vt:lpstr>员工花名册</vt:lpstr>
      <vt:lpstr>教育经历</vt:lpstr>
      <vt:lpstr>工作经历</vt:lpstr>
      <vt:lpstr>员工履历表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weiqingqing</dc:creator>
  <dcterms:created xsi:type="dcterms:W3CDTF">2021-05-31T11:18:00Z</dcterms:created>
  <dcterms:modified xsi:type="dcterms:W3CDTF">2021-06-03T19:34:56Z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  <property fmtid="{D5CDD505-2E9C-101B-9397-08002B2CF9AE}" pid="3" name="KSOTemplateUUID">
    <vt:lpwstr>v1.0_mb_TXDEWmOxI+/XhmMFpJlo+A==</vt:lpwstr>
  </property>
</Properties>
</file>